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F:\YandexDisk\Решения.PRO\Клиенты\Люботин\Продажа производства угля\Финмодель\"/>
    </mc:Choice>
  </mc:AlternateContent>
  <xr:revisionPtr revIDLastSave="0" documentId="13_ncr:1_{3341F3D3-B13C-4DD6-BAA2-2241DD190E00}" xr6:coauthVersionLast="47" xr6:coauthVersionMax="47" xr10:uidLastSave="{00000000-0000-0000-0000-000000000000}"/>
  <bookViews>
    <workbookView xWindow="390" yWindow="390" windowWidth="21600" windowHeight="12735" tabRatio="726" xr2:uid="{00000000-000D-0000-FFFF-FFFF00000000}"/>
  </bookViews>
  <sheets>
    <sheet name="Параметры" sheetId="1" r:id="rId1"/>
    <sheet name="Себестоимость" sheetId="2" r:id="rId2"/>
    <sheet name="План_мес" sheetId="3" r:id="rId3"/>
    <sheet name="PL_мес" sheetId="4" r:id="rId4"/>
    <sheet name="PL_год" sheetId="5" r:id="rId5"/>
    <sheet name="Потоки" sheetId="9" r:id="rId6"/>
    <sheet name="Показатели" sheetId="10" r:id="rId7"/>
    <sheet name="Кредит_мес" sheetId="6" r:id="rId8"/>
    <sheet name="PL_мес_кредит" sheetId="7" r:id="rId9"/>
    <sheet name="PL_год_кредит" sheetId="8" r:id="rId10"/>
    <sheet name="Потоки_кредит" sheetId="11" r:id="rId11"/>
    <sheet name="Показатели_кредит" sheetId="12" r:id="rId12"/>
    <sheet name="Потоки_конс" sheetId="13" r:id="rId13"/>
    <sheet name="Показатели_конс" sheetId="14" r:id="rId14"/>
    <sheet name="Сценарии" sheetId="15" r:id="rId15"/>
  </sheets>
  <calcPr calcId="191029"/>
</workbook>
</file>

<file path=xl/calcChain.xml><?xml version="1.0" encoding="utf-8"?>
<calcChain xmlns="http://schemas.openxmlformats.org/spreadsheetml/2006/main">
  <c r="B7" i="2" l="1"/>
  <c r="C5" i="2"/>
  <c r="B5" i="2"/>
  <c r="D5" i="2" s="1"/>
  <c r="I5" i="2" s="1"/>
  <c r="E8" i="1"/>
  <c r="D4" i="2"/>
  <c r="D3" i="2"/>
  <c r="B6" i="14" l="1"/>
  <c r="B2" i="14"/>
  <c r="B2" i="13"/>
  <c r="B6" i="12"/>
  <c r="E18" i="1" s="1"/>
  <c r="B2" i="10"/>
  <c r="E4" i="1" s="1"/>
  <c r="B2" i="9"/>
  <c r="C62" i="6"/>
  <c r="C61" i="6"/>
  <c r="C60" i="6"/>
  <c r="C59" i="6"/>
  <c r="C58" i="6"/>
  <c r="C57" i="6"/>
  <c r="C56" i="6"/>
  <c r="C55" i="6"/>
  <c r="C54" i="6"/>
  <c r="C53" i="6"/>
  <c r="C52" i="6"/>
  <c r="C51" i="6"/>
  <c r="C50" i="6"/>
  <c r="C49" i="6"/>
  <c r="C48" i="6"/>
  <c r="C47" i="6"/>
  <c r="C46" i="6"/>
  <c r="C45" i="6"/>
  <c r="C44" i="6"/>
  <c r="C43" i="6"/>
  <c r="C42" i="6"/>
  <c r="C41" i="6"/>
  <c r="C40" i="6"/>
  <c r="C39" i="6"/>
  <c r="C38" i="6"/>
  <c r="C37" i="6"/>
  <c r="C36" i="6"/>
  <c r="C35" i="6"/>
  <c r="C34" i="6"/>
  <c r="C33" i="6"/>
  <c r="C32" i="6"/>
  <c r="C31" i="6"/>
  <c r="C30" i="6"/>
  <c r="C29" i="6"/>
  <c r="C28" i="6"/>
  <c r="C27" i="6"/>
  <c r="C26" i="6"/>
  <c r="C25" i="6"/>
  <c r="C24" i="6"/>
  <c r="C23" i="6"/>
  <c r="C22" i="6"/>
  <c r="C21" i="6"/>
  <c r="C20" i="6"/>
  <c r="C19" i="6"/>
  <c r="C18" i="6"/>
  <c r="C17" i="6"/>
  <c r="C16" i="6"/>
  <c r="C15" i="6"/>
  <c r="C14" i="6"/>
  <c r="C13" i="6"/>
  <c r="C12" i="6"/>
  <c r="C11" i="6"/>
  <c r="C10" i="6"/>
  <c r="C9" i="6"/>
  <c r="C8" i="6"/>
  <c r="C7" i="6"/>
  <c r="C6" i="6"/>
  <c r="C5" i="6"/>
  <c r="C4" i="6"/>
  <c r="A4" i="6"/>
  <c r="C3" i="6"/>
  <c r="A3" i="6"/>
  <c r="C2" i="6"/>
  <c r="A61" i="4"/>
  <c r="A61" i="7" s="1"/>
  <c r="A60" i="4"/>
  <c r="A60" i="7" s="1"/>
  <c r="A59" i="4"/>
  <c r="A59" i="7" s="1"/>
  <c r="A58" i="4"/>
  <c r="A58" i="7" s="1"/>
  <c r="A57" i="4"/>
  <c r="A57" i="7" s="1"/>
  <c r="B56" i="4"/>
  <c r="B56" i="7" s="1"/>
  <c r="A56" i="4"/>
  <c r="A56" i="7" s="1"/>
  <c r="A55" i="4"/>
  <c r="A55" i="7" s="1"/>
  <c r="A54" i="4"/>
  <c r="A54" i="7" s="1"/>
  <c r="A53" i="4"/>
  <c r="A53" i="7" s="1"/>
  <c r="A52" i="4"/>
  <c r="A52" i="7" s="1"/>
  <c r="A51" i="4"/>
  <c r="A51" i="7" s="1"/>
  <c r="B50" i="4"/>
  <c r="B50" i="7" s="1"/>
  <c r="A50" i="4"/>
  <c r="A50" i="7" s="1"/>
  <c r="A49" i="4"/>
  <c r="A49" i="7" s="1"/>
  <c r="A48" i="4"/>
  <c r="A48" i="7" s="1"/>
  <c r="A47" i="4"/>
  <c r="A47" i="7" s="1"/>
  <c r="A46" i="4"/>
  <c r="A46" i="7" s="1"/>
  <c r="A45" i="4"/>
  <c r="A45" i="7" s="1"/>
  <c r="B44" i="4"/>
  <c r="B44" i="7" s="1"/>
  <c r="A44" i="4"/>
  <c r="A44" i="7" s="1"/>
  <c r="A43" i="4"/>
  <c r="A43" i="7" s="1"/>
  <c r="A42" i="4"/>
  <c r="A42" i="7" s="1"/>
  <c r="A41" i="4"/>
  <c r="A41" i="7" s="1"/>
  <c r="A40" i="4"/>
  <c r="A40" i="7" s="1"/>
  <c r="A39" i="4"/>
  <c r="A39" i="7" s="1"/>
  <c r="A38" i="4"/>
  <c r="A38" i="7" s="1"/>
  <c r="A37" i="4"/>
  <c r="A37" i="7" s="1"/>
  <c r="A36" i="4"/>
  <c r="A36" i="7" s="1"/>
  <c r="A35" i="4"/>
  <c r="A35" i="7" s="1"/>
  <c r="A34" i="4"/>
  <c r="A34" i="7" s="1"/>
  <c r="A33" i="4"/>
  <c r="A33" i="7" s="1"/>
  <c r="A32" i="4"/>
  <c r="A32" i="7" s="1"/>
  <c r="B31" i="4"/>
  <c r="B31" i="7" s="1"/>
  <c r="A31" i="4"/>
  <c r="A31" i="7" s="1"/>
  <c r="A30" i="4"/>
  <c r="A30" i="7" s="1"/>
  <c r="A29" i="4"/>
  <c r="A29" i="7" s="1"/>
  <c r="A28" i="4"/>
  <c r="A28" i="7" s="1"/>
  <c r="A27" i="4"/>
  <c r="A27" i="7" s="1"/>
  <c r="B26" i="4"/>
  <c r="B26" i="7" s="1"/>
  <c r="A26" i="4"/>
  <c r="A26" i="7" s="1"/>
  <c r="A25" i="4"/>
  <c r="A25" i="7" s="1"/>
  <c r="A24" i="4"/>
  <c r="A24" i="7" s="1"/>
  <c r="A23" i="4"/>
  <c r="A23" i="7" s="1"/>
  <c r="A22" i="4"/>
  <c r="A22" i="7" s="1"/>
  <c r="A21" i="4"/>
  <c r="A21" i="7" s="1"/>
  <c r="A20" i="4"/>
  <c r="A20" i="7" s="1"/>
  <c r="A19" i="4"/>
  <c r="A19" i="7" s="1"/>
  <c r="A18" i="4"/>
  <c r="A18" i="7" s="1"/>
  <c r="A17" i="4"/>
  <c r="A17" i="7" s="1"/>
  <c r="A16" i="4"/>
  <c r="A16" i="7" s="1"/>
  <c r="A15" i="4"/>
  <c r="A15" i="7" s="1"/>
  <c r="B14" i="4"/>
  <c r="B14" i="7" s="1"/>
  <c r="A14" i="4"/>
  <c r="A14" i="7" s="1"/>
  <c r="B13" i="4"/>
  <c r="B13" i="7" s="1"/>
  <c r="A13" i="4"/>
  <c r="A13" i="7" s="1"/>
  <c r="A12" i="4"/>
  <c r="A12" i="7" s="1"/>
  <c r="A11" i="4"/>
  <c r="A11" i="7" s="1"/>
  <c r="A10" i="4"/>
  <c r="A10" i="7" s="1"/>
  <c r="A9" i="4"/>
  <c r="A9" i="7" s="1"/>
  <c r="B8" i="4"/>
  <c r="B8" i="7" s="1"/>
  <c r="A8" i="4"/>
  <c r="A8" i="7" s="1"/>
  <c r="A7" i="4"/>
  <c r="A7" i="7" s="1"/>
  <c r="A6" i="4"/>
  <c r="A6" i="7" s="1"/>
  <c r="A5" i="4"/>
  <c r="A5" i="7" s="1"/>
  <c r="A4" i="4"/>
  <c r="A4" i="7" s="1"/>
  <c r="A3" i="4"/>
  <c r="A3" i="7" s="1"/>
  <c r="B2" i="4"/>
  <c r="A2" i="4"/>
  <c r="A2" i="7" s="1"/>
  <c r="E61" i="3"/>
  <c r="D61" i="4" s="1"/>
  <c r="D61" i="7" s="1"/>
  <c r="B61" i="3"/>
  <c r="B61" i="4" s="1"/>
  <c r="B61" i="7" s="1"/>
  <c r="B60" i="3"/>
  <c r="E59" i="3"/>
  <c r="D59" i="4" s="1"/>
  <c r="D59" i="7" s="1"/>
  <c r="B59" i="3"/>
  <c r="B59" i="4" s="1"/>
  <c r="B59" i="7" s="1"/>
  <c r="B58" i="3"/>
  <c r="B58" i="4" s="1"/>
  <c r="B58" i="7" s="1"/>
  <c r="E57" i="3"/>
  <c r="D57" i="4" s="1"/>
  <c r="D57" i="7" s="1"/>
  <c r="B57" i="3"/>
  <c r="B57" i="4" s="1"/>
  <c r="B57" i="7" s="1"/>
  <c r="B56" i="3"/>
  <c r="E56" i="3" s="1"/>
  <c r="D56" i="4" s="1"/>
  <c r="D56" i="7" s="1"/>
  <c r="B55" i="3"/>
  <c r="E54" i="3"/>
  <c r="D54" i="4" s="1"/>
  <c r="D54" i="7" s="1"/>
  <c r="B54" i="3"/>
  <c r="B54" i="4" s="1"/>
  <c r="B54" i="7" s="1"/>
  <c r="B53" i="3"/>
  <c r="B53" i="4" s="1"/>
  <c r="B53" i="7" s="1"/>
  <c r="B52" i="3"/>
  <c r="B52" i="4" s="1"/>
  <c r="B52" i="7" s="1"/>
  <c r="B51" i="3"/>
  <c r="B51" i="4" s="1"/>
  <c r="B51" i="7" s="1"/>
  <c r="E50" i="3"/>
  <c r="D50" i="4" s="1"/>
  <c r="D50" i="7" s="1"/>
  <c r="B50" i="3"/>
  <c r="E49" i="3"/>
  <c r="D49" i="4" s="1"/>
  <c r="D49" i="7" s="1"/>
  <c r="B49" i="3"/>
  <c r="B49" i="4" s="1"/>
  <c r="B49" i="7" s="1"/>
  <c r="B48" i="3"/>
  <c r="E47" i="3"/>
  <c r="D47" i="4" s="1"/>
  <c r="D47" i="7" s="1"/>
  <c r="B47" i="3"/>
  <c r="B47" i="4" s="1"/>
  <c r="B47" i="7" s="1"/>
  <c r="B46" i="3"/>
  <c r="B46" i="4" s="1"/>
  <c r="B46" i="7" s="1"/>
  <c r="E45" i="3"/>
  <c r="D45" i="4" s="1"/>
  <c r="D45" i="7" s="1"/>
  <c r="B45" i="3"/>
  <c r="B45" i="4" s="1"/>
  <c r="B45" i="7" s="1"/>
  <c r="B44" i="3"/>
  <c r="E44" i="3" s="1"/>
  <c r="D44" i="4" s="1"/>
  <c r="D44" i="7" s="1"/>
  <c r="B43" i="3"/>
  <c r="E42" i="3"/>
  <c r="D42" i="4" s="1"/>
  <c r="D42" i="7" s="1"/>
  <c r="B42" i="3"/>
  <c r="B42" i="4" s="1"/>
  <c r="B42" i="7" s="1"/>
  <c r="B41" i="3"/>
  <c r="B41" i="4" s="1"/>
  <c r="B41" i="7" s="1"/>
  <c r="B40" i="3"/>
  <c r="B40" i="4" s="1"/>
  <c r="B40" i="7" s="1"/>
  <c r="B39" i="3"/>
  <c r="B39" i="4" s="1"/>
  <c r="B39" i="7" s="1"/>
  <c r="E38" i="3"/>
  <c r="D38" i="4" s="1"/>
  <c r="D38" i="7" s="1"/>
  <c r="B38" i="3"/>
  <c r="B38" i="4" s="1"/>
  <c r="B38" i="7" s="1"/>
  <c r="E37" i="3"/>
  <c r="D37" i="4" s="1"/>
  <c r="D37" i="7" s="1"/>
  <c r="B37" i="3"/>
  <c r="B37" i="4" s="1"/>
  <c r="B37" i="7" s="1"/>
  <c r="B36" i="3"/>
  <c r="E35" i="3"/>
  <c r="D35" i="4" s="1"/>
  <c r="D35" i="7" s="1"/>
  <c r="B35" i="3"/>
  <c r="B35" i="4" s="1"/>
  <c r="B35" i="7" s="1"/>
  <c r="B34" i="3"/>
  <c r="B34" i="4" s="1"/>
  <c r="B34" i="7" s="1"/>
  <c r="E33" i="3"/>
  <c r="D33" i="4" s="1"/>
  <c r="D33" i="7" s="1"/>
  <c r="B33" i="3"/>
  <c r="B33" i="4" s="1"/>
  <c r="B33" i="7" s="1"/>
  <c r="B32" i="3"/>
  <c r="E32" i="3" s="1"/>
  <c r="D32" i="4" s="1"/>
  <c r="D32" i="7" s="1"/>
  <c r="B31" i="3"/>
  <c r="E31" i="3" s="1"/>
  <c r="D31" i="4" s="1"/>
  <c r="D31" i="7" s="1"/>
  <c r="E30" i="3"/>
  <c r="D30" i="4" s="1"/>
  <c r="D30" i="7" s="1"/>
  <c r="B30" i="3"/>
  <c r="B30" i="4" s="1"/>
  <c r="B30" i="7" s="1"/>
  <c r="B29" i="3"/>
  <c r="B29" i="4" s="1"/>
  <c r="B29" i="7" s="1"/>
  <c r="E28" i="3"/>
  <c r="D28" i="4" s="1"/>
  <c r="D28" i="7" s="1"/>
  <c r="B28" i="3"/>
  <c r="B28" i="4" s="1"/>
  <c r="B28" i="7" s="1"/>
  <c r="B27" i="3"/>
  <c r="B27" i="4" s="1"/>
  <c r="B27" i="7" s="1"/>
  <c r="E26" i="3"/>
  <c r="D26" i="4" s="1"/>
  <c r="D26" i="7" s="1"/>
  <c r="B26" i="3"/>
  <c r="E25" i="3"/>
  <c r="D25" i="4" s="1"/>
  <c r="D25" i="7" s="1"/>
  <c r="B25" i="3"/>
  <c r="B25" i="4" s="1"/>
  <c r="B25" i="7" s="1"/>
  <c r="B24" i="3"/>
  <c r="E23" i="3"/>
  <c r="D23" i="4" s="1"/>
  <c r="D23" i="7" s="1"/>
  <c r="B23" i="3"/>
  <c r="B23" i="4" s="1"/>
  <c r="B23" i="7" s="1"/>
  <c r="B22" i="3"/>
  <c r="E22" i="3" s="1"/>
  <c r="D22" i="4" s="1"/>
  <c r="D22" i="7" s="1"/>
  <c r="E21" i="3"/>
  <c r="D21" i="4" s="1"/>
  <c r="D21" i="7" s="1"/>
  <c r="B21" i="3"/>
  <c r="B21" i="4" s="1"/>
  <c r="B21" i="7" s="1"/>
  <c r="B20" i="3"/>
  <c r="E20" i="3" s="1"/>
  <c r="D20" i="4" s="1"/>
  <c r="D20" i="7" s="1"/>
  <c r="B19" i="3"/>
  <c r="E18" i="3"/>
  <c r="D18" i="4" s="1"/>
  <c r="D18" i="7" s="1"/>
  <c r="B18" i="3"/>
  <c r="B18" i="4" s="1"/>
  <c r="B18" i="7" s="1"/>
  <c r="B17" i="3"/>
  <c r="B16" i="3"/>
  <c r="B16" i="4" s="1"/>
  <c r="B16" i="7" s="1"/>
  <c r="B15" i="3"/>
  <c r="E15" i="3" s="1"/>
  <c r="D15" i="4" s="1"/>
  <c r="D15" i="7" s="1"/>
  <c r="E14" i="3"/>
  <c r="D14" i="4" s="1"/>
  <c r="D14" i="7" s="1"/>
  <c r="B14" i="3"/>
  <c r="E13" i="3"/>
  <c r="D13" i="4" s="1"/>
  <c r="D13" i="7" s="1"/>
  <c r="B13" i="3"/>
  <c r="B12" i="3"/>
  <c r="E11" i="3"/>
  <c r="D11" i="4" s="1"/>
  <c r="D11" i="7" s="1"/>
  <c r="B11" i="3"/>
  <c r="B11" i="4" s="1"/>
  <c r="B11" i="7" s="1"/>
  <c r="B10" i="3"/>
  <c r="B10" i="4" s="1"/>
  <c r="B10" i="7" s="1"/>
  <c r="E9" i="3"/>
  <c r="D9" i="4" s="1"/>
  <c r="D9" i="7" s="1"/>
  <c r="B9" i="3"/>
  <c r="B9" i="4" s="1"/>
  <c r="B9" i="7" s="1"/>
  <c r="B8" i="3"/>
  <c r="E8" i="3" s="1"/>
  <c r="D8" i="4" s="1"/>
  <c r="D8" i="7" s="1"/>
  <c r="B7" i="3"/>
  <c r="E6" i="3"/>
  <c r="D6" i="4" s="1"/>
  <c r="D6" i="7" s="1"/>
  <c r="B6" i="3"/>
  <c r="B6" i="4" s="1"/>
  <c r="B6" i="7" s="1"/>
  <c r="B5" i="3"/>
  <c r="E4" i="3"/>
  <c r="D4" i="4" s="1"/>
  <c r="D4" i="7" s="1"/>
  <c r="B4" i="3"/>
  <c r="B4" i="4" s="1"/>
  <c r="B4" i="7" s="1"/>
  <c r="B3" i="3"/>
  <c r="E3" i="3" s="1"/>
  <c r="D3" i="4" s="1"/>
  <c r="D3" i="7" s="1"/>
  <c r="E2" i="3"/>
  <c r="D2" i="4" s="1"/>
  <c r="D2" i="7" s="1"/>
  <c r="B2" i="3"/>
  <c r="I4" i="2"/>
  <c r="F51" i="3" s="1"/>
  <c r="F51" i="4" s="1"/>
  <c r="F51" i="7" s="1"/>
  <c r="I3" i="2"/>
  <c r="C84" i="1"/>
  <c r="C61" i="3" s="1"/>
  <c r="D61" i="3" s="1"/>
  <c r="C61" i="4" s="1"/>
  <c r="B84" i="1"/>
  <c r="B83" i="1"/>
  <c r="C83" i="1" s="1"/>
  <c r="C60" i="3" s="1"/>
  <c r="D60" i="3" s="1"/>
  <c r="C60" i="4" s="1"/>
  <c r="B82" i="1"/>
  <c r="C82" i="1" s="1"/>
  <c r="C59" i="3" s="1"/>
  <c r="D59" i="3" s="1"/>
  <c r="C59" i="4" s="1"/>
  <c r="B81" i="1"/>
  <c r="C81" i="1" s="1"/>
  <c r="C58" i="3" s="1"/>
  <c r="D58" i="3" s="1"/>
  <c r="C58" i="4" s="1"/>
  <c r="B80" i="1"/>
  <c r="C80" i="1" s="1"/>
  <c r="C57" i="3" s="1"/>
  <c r="D57" i="3" s="1"/>
  <c r="C57" i="4" s="1"/>
  <c r="B79" i="1"/>
  <c r="C79" i="1" s="1"/>
  <c r="C56" i="3" s="1"/>
  <c r="D56" i="3" s="1"/>
  <c r="C56" i="4" s="1"/>
  <c r="B78" i="1"/>
  <c r="C78" i="1" s="1"/>
  <c r="C55" i="3" s="1"/>
  <c r="D55" i="3" s="1"/>
  <c r="C55" i="4" s="1"/>
  <c r="B77" i="1"/>
  <c r="C77" i="1" s="1"/>
  <c r="C54" i="3" s="1"/>
  <c r="D54" i="3" s="1"/>
  <c r="C54" i="4" s="1"/>
  <c r="B76" i="1"/>
  <c r="C76" i="1" s="1"/>
  <c r="C53" i="3" s="1"/>
  <c r="D53" i="3" s="1"/>
  <c r="C53" i="4" s="1"/>
  <c r="B75" i="1"/>
  <c r="C75" i="1" s="1"/>
  <c r="C52" i="3" s="1"/>
  <c r="D52" i="3" s="1"/>
  <c r="C52" i="4" s="1"/>
  <c r="C74" i="1"/>
  <c r="C51" i="3" s="1"/>
  <c r="D51" i="3" s="1"/>
  <c r="C51" i="4" s="1"/>
  <c r="B74" i="1"/>
  <c r="B73" i="1"/>
  <c r="C73" i="1" s="1"/>
  <c r="C50" i="3" s="1"/>
  <c r="D50" i="3" s="1"/>
  <c r="C50" i="4" s="1"/>
  <c r="B72" i="1"/>
  <c r="C72" i="1" s="1"/>
  <c r="C49" i="3" s="1"/>
  <c r="D49" i="3" s="1"/>
  <c r="C49" i="4" s="1"/>
  <c r="B71" i="1"/>
  <c r="C71" i="1" s="1"/>
  <c r="C48" i="3" s="1"/>
  <c r="D48" i="3" s="1"/>
  <c r="C48" i="4" s="1"/>
  <c r="B70" i="1"/>
  <c r="C70" i="1" s="1"/>
  <c r="C47" i="3" s="1"/>
  <c r="D47" i="3" s="1"/>
  <c r="C47" i="4" s="1"/>
  <c r="B69" i="1"/>
  <c r="C69" i="1" s="1"/>
  <c r="C46" i="3" s="1"/>
  <c r="D46" i="3" s="1"/>
  <c r="C46" i="4" s="1"/>
  <c r="C68" i="1"/>
  <c r="C45" i="3" s="1"/>
  <c r="D45" i="3" s="1"/>
  <c r="C45" i="4" s="1"/>
  <c r="B68" i="1"/>
  <c r="B67" i="1"/>
  <c r="C67" i="1" s="1"/>
  <c r="C44" i="3" s="1"/>
  <c r="D44" i="3" s="1"/>
  <c r="C44" i="4" s="1"/>
  <c r="C66" i="1"/>
  <c r="C43" i="3" s="1"/>
  <c r="D43" i="3" s="1"/>
  <c r="C43" i="4" s="1"/>
  <c r="B66" i="1"/>
  <c r="B65" i="1"/>
  <c r="C65" i="1" s="1"/>
  <c r="C42" i="3" s="1"/>
  <c r="D42" i="3" s="1"/>
  <c r="C42" i="4" s="1"/>
  <c r="B64" i="1"/>
  <c r="C64" i="1" s="1"/>
  <c r="C41" i="3" s="1"/>
  <c r="D41" i="3" s="1"/>
  <c r="C41" i="4" s="1"/>
  <c r="B63" i="1"/>
  <c r="C63" i="1" s="1"/>
  <c r="C40" i="3" s="1"/>
  <c r="D40" i="3" s="1"/>
  <c r="C40" i="4" s="1"/>
  <c r="B62" i="1"/>
  <c r="C62" i="1" s="1"/>
  <c r="C39" i="3" s="1"/>
  <c r="D39" i="3" s="1"/>
  <c r="C39" i="4" s="1"/>
  <c r="B61" i="1"/>
  <c r="C61" i="1" s="1"/>
  <c r="C38" i="3" s="1"/>
  <c r="D38" i="3" s="1"/>
  <c r="C38" i="4" s="1"/>
  <c r="B60" i="1"/>
  <c r="C60" i="1" s="1"/>
  <c r="C37" i="3" s="1"/>
  <c r="D37" i="3" s="1"/>
  <c r="C37" i="4" s="1"/>
  <c r="B59" i="1"/>
  <c r="C59" i="1" s="1"/>
  <c r="C36" i="3" s="1"/>
  <c r="D36" i="3" s="1"/>
  <c r="C36" i="4" s="1"/>
  <c r="B58" i="1"/>
  <c r="C58" i="1" s="1"/>
  <c r="C35" i="3" s="1"/>
  <c r="D35" i="3" s="1"/>
  <c r="C35" i="4" s="1"/>
  <c r="B57" i="1"/>
  <c r="C57" i="1" s="1"/>
  <c r="C34" i="3" s="1"/>
  <c r="D34" i="3" s="1"/>
  <c r="C34" i="4" s="1"/>
  <c r="C56" i="1"/>
  <c r="C33" i="3" s="1"/>
  <c r="D33" i="3" s="1"/>
  <c r="C33" i="4" s="1"/>
  <c r="B56" i="1"/>
  <c r="B55" i="1"/>
  <c r="C55" i="1" s="1"/>
  <c r="C32" i="3" s="1"/>
  <c r="D32" i="3" s="1"/>
  <c r="C32" i="4" s="1"/>
  <c r="E32" i="4" s="1"/>
  <c r="B54" i="1"/>
  <c r="C54" i="1" s="1"/>
  <c r="C31" i="3" s="1"/>
  <c r="D31" i="3" s="1"/>
  <c r="C31" i="4" s="1"/>
  <c r="B53" i="1"/>
  <c r="C53" i="1" s="1"/>
  <c r="C30" i="3" s="1"/>
  <c r="D30" i="3" s="1"/>
  <c r="C30" i="4" s="1"/>
  <c r="B52" i="1"/>
  <c r="C52" i="1" s="1"/>
  <c r="C29" i="3" s="1"/>
  <c r="D29" i="3" s="1"/>
  <c r="C29" i="4" s="1"/>
  <c r="C29" i="7" s="1"/>
  <c r="B51" i="1"/>
  <c r="C51" i="1" s="1"/>
  <c r="C28" i="3" s="1"/>
  <c r="D28" i="3" s="1"/>
  <c r="C28" i="4" s="1"/>
  <c r="C50" i="1"/>
  <c r="C27" i="3" s="1"/>
  <c r="D27" i="3" s="1"/>
  <c r="C27" i="4" s="1"/>
  <c r="B50" i="1"/>
  <c r="B49" i="1"/>
  <c r="C49" i="1" s="1"/>
  <c r="C26" i="3" s="1"/>
  <c r="D26" i="3" s="1"/>
  <c r="C26" i="4" s="1"/>
  <c r="B48" i="1"/>
  <c r="C48" i="1" s="1"/>
  <c r="C25" i="3" s="1"/>
  <c r="D25" i="3" s="1"/>
  <c r="C25" i="4" s="1"/>
  <c r="B47" i="1"/>
  <c r="C47" i="1" s="1"/>
  <c r="C24" i="3" s="1"/>
  <c r="D24" i="3" s="1"/>
  <c r="C24" i="4" s="1"/>
  <c r="B46" i="1"/>
  <c r="C46" i="1" s="1"/>
  <c r="C23" i="3" s="1"/>
  <c r="D23" i="3" s="1"/>
  <c r="C23" i="4" s="1"/>
  <c r="B45" i="1"/>
  <c r="C45" i="1" s="1"/>
  <c r="C22" i="3" s="1"/>
  <c r="D22" i="3" s="1"/>
  <c r="C22" i="4" s="1"/>
  <c r="B44" i="1"/>
  <c r="C44" i="1" s="1"/>
  <c r="C21" i="3" s="1"/>
  <c r="D21" i="3" s="1"/>
  <c r="C21" i="4" s="1"/>
  <c r="C43" i="1"/>
  <c r="C20" i="3" s="1"/>
  <c r="D20" i="3" s="1"/>
  <c r="C20" i="4" s="1"/>
  <c r="B43" i="1"/>
  <c r="B42" i="1"/>
  <c r="C42" i="1" s="1"/>
  <c r="C19" i="3" s="1"/>
  <c r="D19" i="3" s="1"/>
  <c r="C19" i="4" s="1"/>
  <c r="B41" i="1"/>
  <c r="C41" i="1" s="1"/>
  <c r="C18" i="3" s="1"/>
  <c r="D18" i="3" s="1"/>
  <c r="C18" i="4" s="1"/>
  <c r="B40" i="1"/>
  <c r="C40" i="1" s="1"/>
  <c r="C17" i="3" s="1"/>
  <c r="D17" i="3" s="1"/>
  <c r="C17" i="4" s="1"/>
  <c r="B39" i="1"/>
  <c r="C39" i="1" s="1"/>
  <c r="C16" i="3" s="1"/>
  <c r="D16" i="3" s="1"/>
  <c r="C16" i="4" s="1"/>
  <c r="B38" i="1"/>
  <c r="C38" i="1" s="1"/>
  <c r="C15" i="3" s="1"/>
  <c r="D15" i="3" s="1"/>
  <c r="C15" i="4" s="1"/>
  <c r="B37" i="1"/>
  <c r="C37" i="1" s="1"/>
  <c r="C14" i="3" s="1"/>
  <c r="D14" i="3" s="1"/>
  <c r="C14" i="4" s="1"/>
  <c r="C36" i="1"/>
  <c r="C13" i="3" s="1"/>
  <c r="D13" i="3" s="1"/>
  <c r="C13" i="4" s="1"/>
  <c r="B36" i="1"/>
  <c r="B35" i="1"/>
  <c r="C35" i="1" s="1"/>
  <c r="C12" i="3" s="1"/>
  <c r="D12" i="3" s="1"/>
  <c r="C12" i="4" s="1"/>
  <c r="B34" i="1"/>
  <c r="C34" i="1" s="1"/>
  <c r="C11" i="3" s="1"/>
  <c r="D11" i="3" s="1"/>
  <c r="C11" i="4" s="1"/>
  <c r="B33" i="1"/>
  <c r="C33" i="1" s="1"/>
  <c r="C10" i="3" s="1"/>
  <c r="D10" i="3" s="1"/>
  <c r="C10" i="4" s="1"/>
  <c r="C32" i="1"/>
  <c r="C9" i="3" s="1"/>
  <c r="D9" i="3" s="1"/>
  <c r="C9" i="4" s="1"/>
  <c r="B32" i="1"/>
  <c r="B31" i="1"/>
  <c r="C31" i="1" s="1"/>
  <c r="C8" i="3" s="1"/>
  <c r="D8" i="3" s="1"/>
  <c r="C8" i="4" s="1"/>
  <c r="C30" i="1"/>
  <c r="C7" i="3" s="1"/>
  <c r="D7" i="3" s="1"/>
  <c r="C7" i="4" s="1"/>
  <c r="B30" i="1"/>
  <c r="B29" i="1"/>
  <c r="C29" i="1" s="1"/>
  <c r="C6" i="3" s="1"/>
  <c r="D6" i="3" s="1"/>
  <c r="C6" i="4" s="1"/>
  <c r="B28" i="1"/>
  <c r="C28" i="1" s="1"/>
  <c r="C5" i="3" s="1"/>
  <c r="D5" i="3" s="1"/>
  <c r="C5" i="4" s="1"/>
  <c r="B27" i="1"/>
  <c r="C27" i="1" s="1"/>
  <c r="C4" i="3" s="1"/>
  <c r="D4" i="3" s="1"/>
  <c r="C4" i="4" s="1"/>
  <c r="B26" i="1"/>
  <c r="C26" i="1" s="1"/>
  <c r="C3" i="3" s="1"/>
  <c r="D3" i="3" s="1"/>
  <c r="C3" i="4" s="1"/>
  <c r="B25" i="1"/>
  <c r="C25" i="1" s="1"/>
  <c r="C2" i="3" s="1"/>
  <c r="D2" i="3" s="1"/>
  <c r="C2" i="4" s="1"/>
  <c r="B21" i="1"/>
  <c r="B19" i="1"/>
  <c r="B2" i="6" s="1"/>
  <c r="B14" i="1"/>
  <c r="E15" i="4" l="1"/>
  <c r="F33" i="3"/>
  <c r="F33" i="4" s="1"/>
  <c r="F33" i="7" s="1"/>
  <c r="F2" i="3"/>
  <c r="F2" i="4" s="1"/>
  <c r="F2" i="7" s="1"/>
  <c r="F21" i="3"/>
  <c r="F21" i="4" s="1"/>
  <c r="F21" i="7" s="1"/>
  <c r="F18" i="3"/>
  <c r="F18" i="4" s="1"/>
  <c r="F18" i="7" s="1"/>
  <c r="F6" i="3"/>
  <c r="F6" i="4" s="1"/>
  <c r="F11" i="3"/>
  <c r="F11" i="4" s="1"/>
  <c r="F11" i="7" s="1"/>
  <c r="F47" i="3"/>
  <c r="F47" i="4" s="1"/>
  <c r="F47" i="7" s="1"/>
  <c r="F59" i="3"/>
  <c r="F59" i="4" s="1"/>
  <c r="F59" i="7" s="1"/>
  <c r="F28" i="3"/>
  <c r="F28" i="4" s="1"/>
  <c r="F28" i="7" s="1"/>
  <c r="F23" i="3"/>
  <c r="F23" i="4" s="1"/>
  <c r="F23" i="7" s="1"/>
  <c r="F35" i="3"/>
  <c r="F35" i="4" s="1"/>
  <c r="F35" i="7" s="1"/>
  <c r="F56" i="3"/>
  <c r="F56" i="4" s="1"/>
  <c r="F56" i="7" s="1"/>
  <c r="F8" i="3"/>
  <c r="F8" i="4" s="1"/>
  <c r="F8" i="7" s="1"/>
  <c r="F44" i="3"/>
  <c r="F44" i="4" s="1"/>
  <c r="F44" i="7" s="1"/>
  <c r="F14" i="3"/>
  <c r="F14" i="4" s="1"/>
  <c r="F14" i="7" s="1"/>
  <c r="F20" i="3"/>
  <c r="F20" i="4" s="1"/>
  <c r="F20" i="7" s="1"/>
  <c r="G51" i="4"/>
  <c r="G51" i="7" s="1"/>
  <c r="F4" i="3"/>
  <c r="F4" i="4" s="1"/>
  <c r="F4" i="7" s="1"/>
  <c r="F57" i="3"/>
  <c r="F57" i="4" s="1"/>
  <c r="F57" i="7" s="1"/>
  <c r="F9" i="3"/>
  <c r="F9" i="4" s="1"/>
  <c r="F9" i="7" s="1"/>
  <c r="F32" i="3"/>
  <c r="F32" i="4" s="1"/>
  <c r="F32" i="7" s="1"/>
  <c r="F45" i="3"/>
  <c r="F45" i="4" s="1"/>
  <c r="F45" i="7" s="1"/>
  <c r="F52" i="3"/>
  <c r="F52" i="4" s="1"/>
  <c r="F52" i="7" s="1"/>
  <c r="F16" i="3"/>
  <c r="F16" i="4" s="1"/>
  <c r="F16" i="7" s="1"/>
  <c r="F26" i="3"/>
  <c r="F26" i="4" s="1"/>
  <c r="F26" i="7" s="1"/>
  <c r="D2" i="6"/>
  <c r="B20" i="1"/>
  <c r="B2" i="12" s="1"/>
  <c r="E14" i="1" s="1"/>
  <c r="C22" i="7"/>
  <c r="E22" i="4"/>
  <c r="C45" i="7"/>
  <c r="E45" i="4"/>
  <c r="C47" i="7"/>
  <c r="E47" i="4"/>
  <c r="C46" i="7"/>
  <c r="C25" i="7"/>
  <c r="E25" i="4"/>
  <c r="C2" i="7"/>
  <c r="G2" i="4"/>
  <c r="G2" i="7" s="1"/>
  <c r="E2" i="4"/>
  <c r="C10" i="7"/>
  <c r="C33" i="7"/>
  <c r="G33" i="4"/>
  <c r="G33" i="7" s="1"/>
  <c r="E33" i="4"/>
  <c r="C56" i="7"/>
  <c r="E56" i="4"/>
  <c r="E15" i="7"/>
  <c r="C26" i="7"/>
  <c r="E26" i="4"/>
  <c r="C42" i="7"/>
  <c r="E42" i="4"/>
  <c r="C19" i="7"/>
  <c r="C8" i="7"/>
  <c r="E8" i="4"/>
  <c r="C50" i="7"/>
  <c r="E50" i="4"/>
  <c r="C57" i="7"/>
  <c r="E57" i="4"/>
  <c r="C38" i="7"/>
  <c r="E38" i="4"/>
  <c r="C9" i="7"/>
  <c r="E9" i="4"/>
  <c r="C4" i="7"/>
  <c r="E4" i="4"/>
  <c r="C58" i="7"/>
  <c r="C16" i="7"/>
  <c r="C11" i="7"/>
  <c r="E11" i="4"/>
  <c r="C28" i="7"/>
  <c r="E28" i="4"/>
  <c r="C35" i="7"/>
  <c r="E35" i="4"/>
  <c r="C40" i="7"/>
  <c r="C12" i="7"/>
  <c r="C14" i="7"/>
  <c r="E14" i="4"/>
  <c r="C30" i="7"/>
  <c r="E30" i="4"/>
  <c r="C17" i="7"/>
  <c r="C53" i="7"/>
  <c r="B43" i="4"/>
  <c r="B43" i="7" s="1"/>
  <c r="E43" i="3"/>
  <c r="D43" i="4" s="1"/>
  <c r="D43" i="7" s="1"/>
  <c r="C27" i="7"/>
  <c r="C31" i="7"/>
  <c r="E31" i="4"/>
  <c r="C3" i="7"/>
  <c r="C32" i="7"/>
  <c r="C39" i="7"/>
  <c r="C61" i="7"/>
  <c r="E61" i="4"/>
  <c r="B5" i="4"/>
  <c r="B5" i="7" s="1"/>
  <c r="E5" i="3"/>
  <c r="D5" i="4" s="1"/>
  <c r="D5" i="7" s="1"/>
  <c r="C23" i="7"/>
  <c r="E23" i="4"/>
  <c r="B48" i="4"/>
  <c r="B48" i="7" s="1"/>
  <c r="E48" i="3"/>
  <c r="D48" i="4" s="1"/>
  <c r="D48" i="7" s="1"/>
  <c r="E3" i="4"/>
  <c r="C52" i="7"/>
  <c r="C59" i="7"/>
  <c r="E59" i="4"/>
  <c r="C43" i="7"/>
  <c r="C5" i="7"/>
  <c r="C41" i="7"/>
  <c r="B24" i="4"/>
  <c r="B24" i="7" s="1"/>
  <c r="E24" i="3"/>
  <c r="D24" i="4" s="1"/>
  <c r="D24" i="7" s="1"/>
  <c r="B55" i="4"/>
  <c r="B55" i="7" s="1"/>
  <c r="E55" i="3"/>
  <c r="D55" i="4" s="1"/>
  <c r="D55" i="7" s="1"/>
  <c r="E19" i="3"/>
  <c r="D19" i="4" s="1"/>
  <c r="D19" i="7" s="1"/>
  <c r="B19" i="4"/>
  <c r="B19" i="7" s="1"/>
  <c r="C34" i="7"/>
  <c r="C55" i="7"/>
  <c r="B60" i="4"/>
  <c r="B60" i="7" s="1"/>
  <c r="E60" i="3"/>
  <c r="D60" i="4" s="1"/>
  <c r="D60" i="7" s="1"/>
  <c r="E32" i="7"/>
  <c r="C6" i="7"/>
  <c r="E6" i="4"/>
  <c r="C13" i="7"/>
  <c r="E13" i="4"/>
  <c r="C49" i="7"/>
  <c r="E49" i="4"/>
  <c r="B7" i="4"/>
  <c r="B7" i="7" s="1"/>
  <c r="E7" i="3"/>
  <c r="D7" i="4" s="1"/>
  <c r="D7" i="7" s="1"/>
  <c r="E40" i="3"/>
  <c r="D40" i="4" s="1"/>
  <c r="D40" i="7" s="1"/>
  <c r="C18" i="7"/>
  <c r="G18" i="4"/>
  <c r="G18" i="7" s="1"/>
  <c r="E18" i="4"/>
  <c r="C54" i="7"/>
  <c r="E54" i="4"/>
  <c r="C20" i="7"/>
  <c r="E20" i="4"/>
  <c r="E2" i="6"/>
  <c r="I2" i="7" s="1"/>
  <c r="C36" i="7"/>
  <c r="E16" i="3"/>
  <c r="D16" i="4" s="1"/>
  <c r="D16" i="7" s="1"/>
  <c r="F40" i="3"/>
  <c r="F40" i="4" s="1"/>
  <c r="F40" i="7" s="1"/>
  <c r="C24" i="7"/>
  <c r="C48" i="7"/>
  <c r="C7" i="7"/>
  <c r="C21" i="7"/>
  <c r="G21" i="4"/>
  <c r="G21" i="7" s="1"/>
  <c r="E21" i="4"/>
  <c r="C15" i="7"/>
  <c r="C37" i="7"/>
  <c r="E37" i="4"/>
  <c r="C51" i="7"/>
  <c r="B17" i="4"/>
  <c r="B17" i="7" s="1"/>
  <c r="E17" i="3"/>
  <c r="D17" i="4" s="1"/>
  <c r="D17" i="7" s="1"/>
  <c r="B36" i="4"/>
  <c r="B36" i="7" s="1"/>
  <c r="E36" i="3"/>
  <c r="D36" i="4" s="1"/>
  <c r="D36" i="7" s="1"/>
  <c r="B2" i="7"/>
  <c r="C60" i="7"/>
  <c r="B12" i="4"/>
  <c r="B12" i="7" s="1"/>
  <c r="E12" i="3"/>
  <c r="D12" i="4" s="1"/>
  <c r="D12" i="7" s="1"/>
  <c r="C44" i="7"/>
  <c r="E44" i="4"/>
  <c r="E52" i="3"/>
  <c r="D52" i="4" s="1"/>
  <c r="D52" i="7" s="1"/>
  <c r="F13" i="3"/>
  <c r="F13" i="4" s="1"/>
  <c r="F13" i="7" s="1"/>
  <c r="F25" i="3"/>
  <c r="F25" i="4" s="1"/>
  <c r="F25" i="7" s="1"/>
  <c r="F37" i="3"/>
  <c r="F37" i="4" s="1"/>
  <c r="F37" i="7" s="1"/>
  <c r="F49" i="3"/>
  <c r="F49" i="4" s="1"/>
  <c r="F49" i="7" s="1"/>
  <c r="F61" i="3"/>
  <c r="F61" i="4" s="1"/>
  <c r="F61" i="7" s="1"/>
  <c r="B3" i="4"/>
  <c r="B15" i="4"/>
  <c r="B15" i="7" s="1"/>
  <c r="B22" i="4"/>
  <c r="B22" i="7" s="1"/>
  <c r="F30" i="3"/>
  <c r="F30" i="4" s="1"/>
  <c r="F30" i="7" s="1"/>
  <c r="F42" i="3"/>
  <c r="F42" i="4" s="1"/>
  <c r="F42" i="7" s="1"/>
  <c r="F54" i="3"/>
  <c r="F54" i="4" s="1"/>
  <c r="F54" i="7" s="1"/>
  <c r="F38" i="3"/>
  <c r="F38" i="4" s="1"/>
  <c r="F38" i="7" s="1"/>
  <c r="F50" i="3"/>
  <c r="F50" i="4" s="1"/>
  <c r="F50" i="7" s="1"/>
  <c r="A5" i="6"/>
  <c r="D4" i="6"/>
  <c r="F7" i="3"/>
  <c r="F7" i="4" s="1"/>
  <c r="F7" i="7" s="1"/>
  <c r="F19" i="3"/>
  <c r="F19" i="4" s="1"/>
  <c r="F19" i="7" s="1"/>
  <c r="F31" i="3"/>
  <c r="F31" i="4" s="1"/>
  <c r="F31" i="7" s="1"/>
  <c r="F43" i="3"/>
  <c r="F43" i="4" s="1"/>
  <c r="F43" i="7" s="1"/>
  <c r="F55" i="3"/>
  <c r="F55" i="4" s="1"/>
  <c r="F55" i="7" s="1"/>
  <c r="F12" i="3"/>
  <c r="F12" i="4" s="1"/>
  <c r="F12" i="7" s="1"/>
  <c r="F24" i="3"/>
  <c r="F24" i="4" s="1"/>
  <c r="F24" i="7" s="1"/>
  <c r="E29" i="3"/>
  <c r="D29" i="4" s="1"/>
  <c r="D29" i="7" s="1"/>
  <c r="F36" i="3"/>
  <c r="F36" i="4" s="1"/>
  <c r="E41" i="3"/>
  <c r="D41" i="4" s="1"/>
  <c r="D41" i="7" s="1"/>
  <c r="F48" i="3"/>
  <c r="F48" i="4" s="1"/>
  <c r="F48" i="7" s="1"/>
  <c r="E53" i="3"/>
  <c r="D53" i="4" s="1"/>
  <c r="D53" i="7" s="1"/>
  <c r="F60" i="3"/>
  <c r="F60" i="4" s="1"/>
  <c r="F60" i="7" s="1"/>
  <c r="B2" i="11"/>
  <c r="F5" i="3"/>
  <c r="F5" i="4" s="1"/>
  <c r="F5" i="7" s="1"/>
  <c r="E10" i="3"/>
  <c r="D10" i="4" s="1"/>
  <c r="D10" i="7" s="1"/>
  <c r="F17" i="3"/>
  <c r="F17" i="4" s="1"/>
  <c r="F17" i="7" s="1"/>
  <c r="F29" i="3"/>
  <c r="F29" i="4" s="1"/>
  <c r="F29" i="7" s="1"/>
  <c r="E34" i="3"/>
  <c r="D34" i="4" s="1"/>
  <c r="D34" i="7" s="1"/>
  <c r="F41" i="3"/>
  <c r="F41" i="4" s="1"/>
  <c r="E46" i="3"/>
  <c r="D46" i="4" s="1"/>
  <c r="D46" i="7" s="1"/>
  <c r="F53" i="3"/>
  <c r="F53" i="4" s="1"/>
  <c r="F53" i="7" s="1"/>
  <c r="E58" i="3"/>
  <c r="D58" i="4" s="1"/>
  <c r="D58" i="7" s="1"/>
  <c r="B32" i="4"/>
  <c r="B32" i="7" s="1"/>
  <c r="D3" i="6"/>
  <c r="F10" i="3"/>
  <c r="F10" i="4" s="1"/>
  <c r="F10" i="7" s="1"/>
  <c r="F22" i="3"/>
  <c r="F22" i="4" s="1"/>
  <c r="F22" i="7" s="1"/>
  <c r="E27" i="3"/>
  <c r="D27" i="4" s="1"/>
  <c r="D27" i="7" s="1"/>
  <c r="F34" i="3"/>
  <c r="F34" i="4" s="1"/>
  <c r="F34" i="7" s="1"/>
  <c r="E39" i="3"/>
  <c r="D39" i="4" s="1"/>
  <c r="D39" i="7" s="1"/>
  <c r="F46" i="3"/>
  <c r="F46" i="4" s="1"/>
  <c r="F46" i="7" s="1"/>
  <c r="E51" i="3"/>
  <c r="D51" i="4" s="1"/>
  <c r="D51" i="7" s="1"/>
  <c r="F58" i="3"/>
  <c r="F58" i="4" s="1"/>
  <c r="F58" i="7" s="1"/>
  <c r="B20" i="4"/>
  <c r="B20" i="7" s="1"/>
  <c r="F3" i="3"/>
  <c r="F3" i="4" s="1"/>
  <c r="F3" i="7" s="1"/>
  <c r="F15" i="3"/>
  <c r="F15" i="4" s="1"/>
  <c r="F15" i="7" s="1"/>
  <c r="F27" i="3"/>
  <c r="F27" i="4" s="1"/>
  <c r="F39" i="3"/>
  <c r="F39" i="4" s="1"/>
  <c r="F39" i="7" s="1"/>
  <c r="E48" i="4" l="1"/>
  <c r="E17" i="4"/>
  <c r="G11" i="4"/>
  <c r="G11" i="7" s="1"/>
  <c r="E58" i="4"/>
  <c r="G4" i="4"/>
  <c r="G4" i="7" s="1"/>
  <c r="G8" i="4"/>
  <c r="G8" i="7" s="1"/>
  <c r="G47" i="4"/>
  <c r="G47" i="7" s="1"/>
  <c r="G23" i="4"/>
  <c r="G23" i="7" s="1"/>
  <c r="G59" i="4"/>
  <c r="G59" i="7" s="1"/>
  <c r="G56" i="4"/>
  <c r="G56" i="7" s="1"/>
  <c r="G35" i="4"/>
  <c r="G35" i="7" s="1"/>
  <c r="G28" i="4"/>
  <c r="G28" i="7" s="1"/>
  <c r="G9" i="4"/>
  <c r="G9" i="7" s="1"/>
  <c r="G37" i="4"/>
  <c r="G37" i="7" s="1"/>
  <c r="G52" i="4"/>
  <c r="G52" i="7" s="1"/>
  <c r="G32" i="4"/>
  <c r="G57" i="4"/>
  <c r="G57" i="7" s="1"/>
  <c r="G46" i="4"/>
  <c r="G46" i="7" s="1"/>
  <c r="G44" i="4"/>
  <c r="G44" i="7" s="1"/>
  <c r="G61" i="4"/>
  <c r="G61" i="7" s="1"/>
  <c r="G30" i="4"/>
  <c r="G30" i="7" s="1"/>
  <c r="G60" i="4"/>
  <c r="G60" i="7" s="1"/>
  <c r="G20" i="4"/>
  <c r="G20" i="7" s="1"/>
  <c r="G10" i="4"/>
  <c r="G10" i="7" s="1"/>
  <c r="G45" i="4"/>
  <c r="G45" i="7" s="1"/>
  <c r="G14" i="4"/>
  <c r="G14" i="7" s="1"/>
  <c r="G16" i="4"/>
  <c r="G16" i="7" s="1"/>
  <c r="G26" i="4"/>
  <c r="G26" i="7" s="1"/>
  <c r="F6" i="7"/>
  <c r="G6" i="4"/>
  <c r="G6" i="7" s="1"/>
  <c r="F2" i="6"/>
  <c r="G2" i="6" s="1"/>
  <c r="B3" i="6" s="1"/>
  <c r="E3" i="6" s="1"/>
  <c r="E59" i="7"/>
  <c r="E50" i="7"/>
  <c r="F41" i="7"/>
  <c r="G41" i="4"/>
  <c r="G41" i="7" s="1"/>
  <c r="F36" i="7"/>
  <c r="G36" i="4"/>
  <c r="G36" i="7" s="1"/>
  <c r="C3" i="5"/>
  <c r="E51" i="4"/>
  <c r="G39" i="4"/>
  <c r="G39" i="7" s="1"/>
  <c r="E6" i="7"/>
  <c r="G31" i="4"/>
  <c r="G31" i="7" s="1"/>
  <c r="E30" i="7"/>
  <c r="E60" i="4"/>
  <c r="E33" i="7"/>
  <c r="H33" i="4"/>
  <c r="E46" i="4"/>
  <c r="E17" i="7"/>
  <c r="E37" i="7"/>
  <c r="G48" i="4"/>
  <c r="G48" i="7" s="1"/>
  <c r="E29" i="4"/>
  <c r="G58" i="4"/>
  <c r="G58" i="7" s="1"/>
  <c r="E57" i="7"/>
  <c r="G42" i="4"/>
  <c r="G42" i="7" s="1"/>
  <c r="E42" i="7"/>
  <c r="G15" i="4"/>
  <c r="G24" i="4"/>
  <c r="G24" i="7" s="1"/>
  <c r="E52" i="4"/>
  <c r="E4" i="7"/>
  <c r="G50" i="4"/>
  <c r="E27" i="4"/>
  <c r="E54" i="7"/>
  <c r="E49" i="7"/>
  <c r="E41" i="4"/>
  <c r="E39" i="4"/>
  <c r="G12" i="4"/>
  <c r="G12" i="7" s="1"/>
  <c r="E2" i="7"/>
  <c r="H2" i="4"/>
  <c r="E24" i="4"/>
  <c r="E61" i="7"/>
  <c r="E28" i="7"/>
  <c r="F27" i="7"/>
  <c r="G27" i="4"/>
  <c r="G27" i="7" s="1"/>
  <c r="B3" i="7"/>
  <c r="B2" i="5"/>
  <c r="H21" i="4"/>
  <c r="E21" i="7"/>
  <c r="G29" i="4"/>
  <c r="G29" i="7" s="1"/>
  <c r="G54" i="4"/>
  <c r="G54" i="7" s="1"/>
  <c r="G49" i="4"/>
  <c r="G49" i="7" s="1"/>
  <c r="G55" i="4"/>
  <c r="G55" i="7" s="1"/>
  <c r="G53" i="4"/>
  <c r="G53" i="7" s="1"/>
  <c r="E12" i="4"/>
  <c r="E11" i="7"/>
  <c r="E9" i="7"/>
  <c r="E8" i="7"/>
  <c r="E45" i="7"/>
  <c r="E35" i="7"/>
  <c r="E20" i="7"/>
  <c r="E14" i="7"/>
  <c r="E47" i="7"/>
  <c r="E5" i="4"/>
  <c r="E55" i="4"/>
  <c r="G5" i="4"/>
  <c r="G5" i="7" s="1"/>
  <c r="E3" i="7"/>
  <c r="E53" i="4"/>
  <c r="E44" i="7"/>
  <c r="C5" i="5"/>
  <c r="H18" i="4"/>
  <c r="E18" i="7"/>
  <c r="E13" i="7"/>
  <c r="E40" i="4"/>
  <c r="E56" i="7"/>
  <c r="E25" i="7"/>
  <c r="E22" i="7"/>
  <c r="E31" i="7"/>
  <c r="E10" i="4"/>
  <c r="E7" i="4"/>
  <c r="G13" i="4"/>
  <c r="G13" i="7" s="1"/>
  <c r="G34" i="4"/>
  <c r="G34" i="7" s="1"/>
  <c r="E43" i="4"/>
  <c r="G3" i="4"/>
  <c r="G3" i="7" s="1"/>
  <c r="G17" i="4"/>
  <c r="G17" i="7" s="1"/>
  <c r="G40" i="4"/>
  <c r="G40" i="7" s="1"/>
  <c r="E38" i="7"/>
  <c r="G19" i="4"/>
  <c r="G19" i="7" s="1"/>
  <c r="G25" i="4"/>
  <c r="G25" i="7" s="1"/>
  <c r="G22" i="4"/>
  <c r="G22" i="7" s="1"/>
  <c r="E48" i="7"/>
  <c r="E34" i="4"/>
  <c r="E58" i="7"/>
  <c r="E26" i="7"/>
  <c r="A6" i="6"/>
  <c r="D5" i="6"/>
  <c r="G7" i="4"/>
  <c r="G7" i="7" s="1"/>
  <c r="E36" i="4"/>
  <c r="G43" i="4"/>
  <c r="G43" i="7" s="1"/>
  <c r="E23" i="7"/>
  <c r="E16" i="4"/>
  <c r="B3" i="5" s="1"/>
  <c r="G38" i="4"/>
  <c r="G38" i="7" s="1"/>
  <c r="E19" i="4"/>
  <c r="H8" i="4" l="1"/>
  <c r="H11" i="4"/>
  <c r="H59" i="4"/>
  <c r="H30" i="4"/>
  <c r="I30" i="4" s="1"/>
  <c r="J30" i="4" s="1"/>
  <c r="H23" i="4"/>
  <c r="H35" i="4"/>
  <c r="H35" i="7" s="1"/>
  <c r="H47" i="4"/>
  <c r="I47" i="4" s="1"/>
  <c r="J47" i="4" s="1"/>
  <c r="H4" i="4"/>
  <c r="H28" i="4"/>
  <c r="H28" i="7" s="1"/>
  <c r="H37" i="4"/>
  <c r="I37" i="4" s="1"/>
  <c r="J37" i="4" s="1"/>
  <c r="H56" i="4"/>
  <c r="I56" i="4" s="1"/>
  <c r="J56" i="4" s="1"/>
  <c r="H9" i="4"/>
  <c r="H9" i="7" s="1"/>
  <c r="H45" i="4"/>
  <c r="H45" i="7" s="1"/>
  <c r="H48" i="4"/>
  <c r="H48" i="7" s="1"/>
  <c r="H31" i="4"/>
  <c r="I31" i="4" s="1"/>
  <c r="J31" i="4" s="1"/>
  <c r="H44" i="4"/>
  <c r="H44" i="7" s="1"/>
  <c r="G32" i="7"/>
  <c r="H32" i="4"/>
  <c r="H25" i="4"/>
  <c r="H25" i="7" s="1"/>
  <c r="H57" i="4"/>
  <c r="I57" i="4" s="1"/>
  <c r="J57" i="4" s="1"/>
  <c r="H26" i="4"/>
  <c r="I26" i="4" s="1"/>
  <c r="H14" i="4"/>
  <c r="H14" i="7" s="1"/>
  <c r="H20" i="4"/>
  <c r="H20" i="7" s="1"/>
  <c r="H38" i="4"/>
  <c r="I38" i="4" s="1"/>
  <c r="J38" i="4" s="1"/>
  <c r="H22" i="4"/>
  <c r="I22" i="4" s="1"/>
  <c r="J22" i="4" s="1"/>
  <c r="H61" i="4"/>
  <c r="I61" i="4" s="1"/>
  <c r="J61" i="4" s="1"/>
  <c r="H6" i="4"/>
  <c r="I6" i="4" s="1"/>
  <c r="J6" i="4" s="1"/>
  <c r="D3" i="5"/>
  <c r="B4" i="13" s="1"/>
  <c r="I3" i="7"/>
  <c r="F3" i="6"/>
  <c r="G3" i="6" s="1"/>
  <c r="B4" i="6" s="1"/>
  <c r="E4" i="6" s="1"/>
  <c r="H2" i="7"/>
  <c r="I2" i="4"/>
  <c r="H4" i="7"/>
  <c r="I4" i="4"/>
  <c r="J4" i="4" s="1"/>
  <c r="E46" i="7"/>
  <c r="H46" i="4"/>
  <c r="E36" i="7"/>
  <c r="H36" i="4"/>
  <c r="H11" i="7"/>
  <c r="I11" i="4"/>
  <c r="J11" i="4" s="1"/>
  <c r="H33" i="7"/>
  <c r="I33" i="4"/>
  <c r="J33" i="4" s="1"/>
  <c r="G50" i="7"/>
  <c r="C6" i="5"/>
  <c r="E39" i="7"/>
  <c r="H39" i="4"/>
  <c r="B5" i="5"/>
  <c r="D5" i="5" s="1"/>
  <c r="B6" i="13" s="1"/>
  <c r="E60" i="7"/>
  <c r="H60" i="4"/>
  <c r="E43" i="7"/>
  <c r="H43" i="4"/>
  <c r="E53" i="7"/>
  <c r="H53" i="4"/>
  <c r="E41" i="7"/>
  <c r="H41" i="4"/>
  <c r="G15" i="7"/>
  <c r="C3" i="8" s="1"/>
  <c r="H15" i="4"/>
  <c r="E29" i="7"/>
  <c r="H29" i="4"/>
  <c r="H30" i="7"/>
  <c r="H50" i="4"/>
  <c r="A7" i="6"/>
  <c r="D6" i="6"/>
  <c r="H24" i="4"/>
  <c r="E24" i="7"/>
  <c r="C4" i="8"/>
  <c r="C2" i="8"/>
  <c r="E34" i="7"/>
  <c r="H34" i="4"/>
  <c r="H3" i="4"/>
  <c r="I35" i="4"/>
  <c r="J35" i="4" s="1"/>
  <c r="H49" i="4"/>
  <c r="B4" i="5"/>
  <c r="E40" i="7"/>
  <c r="H40" i="4"/>
  <c r="H59" i="7"/>
  <c r="I59" i="4"/>
  <c r="J59" i="4" s="1"/>
  <c r="E52" i="7"/>
  <c r="H52" i="4"/>
  <c r="H58" i="4"/>
  <c r="E12" i="7"/>
  <c r="H12" i="4"/>
  <c r="H19" i="4"/>
  <c r="E19" i="7"/>
  <c r="C5" i="8"/>
  <c r="H7" i="4"/>
  <c r="E7" i="7"/>
  <c r="H13" i="4"/>
  <c r="H54" i="4"/>
  <c r="H42" i="4"/>
  <c r="E55" i="7"/>
  <c r="H55" i="4"/>
  <c r="E10" i="7"/>
  <c r="H10" i="4"/>
  <c r="E5" i="7"/>
  <c r="H5" i="4"/>
  <c r="H8" i="7"/>
  <c r="I8" i="4"/>
  <c r="J8" i="4" s="1"/>
  <c r="E16" i="7"/>
  <c r="H16" i="4"/>
  <c r="H23" i="7"/>
  <c r="I23" i="4"/>
  <c r="J23" i="4" s="1"/>
  <c r="C6" i="8"/>
  <c r="H18" i="7"/>
  <c r="I18" i="4"/>
  <c r="J18" i="4" s="1"/>
  <c r="C2" i="5"/>
  <c r="D2" i="5" s="1"/>
  <c r="B3" i="13" s="1"/>
  <c r="I21" i="4"/>
  <c r="J21" i="4" s="1"/>
  <c r="H21" i="7"/>
  <c r="E27" i="7"/>
  <c r="H27" i="4"/>
  <c r="H17" i="4"/>
  <c r="E51" i="7"/>
  <c r="H51" i="4"/>
  <c r="B6" i="5"/>
  <c r="C4" i="5"/>
  <c r="I28" i="4" l="1"/>
  <c r="J28" i="4" s="1"/>
  <c r="H47" i="7"/>
  <c r="H37" i="7"/>
  <c r="H31" i="7"/>
  <c r="I48" i="4"/>
  <c r="J48" i="4" s="1"/>
  <c r="I45" i="4"/>
  <c r="J45" i="4" s="1"/>
  <c r="B3" i="8"/>
  <c r="B5" i="8"/>
  <c r="I44" i="4"/>
  <c r="J44" i="4" s="1"/>
  <c r="B4" i="8"/>
  <c r="B2" i="8"/>
  <c r="H56" i="7"/>
  <c r="I9" i="4"/>
  <c r="J9" i="4" s="1"/>
  <c r="H6" i="7"/>
  <c r="I25" i="4"/>
  <c r="J25" i="4" s="1"/>
  <c r="I20" i="4"/>
  <c r="J20" i="4" s="1"/>
  <c r="H57" i="7"/>
  <c r="I14" i="4"/>
  <c r="J14" i="4" s="1"/>
  <c r="H61" i="7"/>
  <c r="H22" i="7"/>
  <c r="H38" i="7"/>
  <c r="D6" i="5"/>
  <c r="B7" i="13" s="1"/>
  <c r="I32" i="4"/>
  <c r="J32" i="4" s="1"/>
  <c r="H32" i="7"/>
  <c r="H26" i="7"/>
  <c r="H40" i="7"/>
  <c r="I40" i="4"/>
  <c r="J40" i="4" s="1"/>
  <c r="H42" i="7"/>
  <c r="I42" i="4"/>
  <c r="J42" i="4" s="1"/>
  <c r="H53" i="7"/>
  <c r="I53" i="4"/>
  <c r="J53" i="4" s="1"/>
  <c r="H46" i="7"/>
  <c r="I46" i="4"/>
  <c r="J46" i="4" s="1"/>
  <c r="H12" i="7"/>
  <c r="I12" i="4"/>
  <c r="J12" i="4" s="1"/>
  <c r="H34" i="7"/>
  <c r="I34" i="4"/>
  <c r="J34" i="4" s="1"/>
  <c r="H7" i="7"/>
  <c r="I7" i="4"/>
  <c r="J7" i="4" s="1"/>
  <c r="H54" i="7"/>
  <c r="I54" i="4"/>
  <c r="J54" i="4" s="1"/>
  <c r="A8" i="6"/>
  <c r="D7" i="6"/>
  <c r="H51" i="7"/>
  <c r="I51" i="4"/>
  <c r="J51" i="4" s="1"/>
  <c r="H16" i="7"/>
  <c r="I16" i="4"/>
  <c r="J16" i="4" s="1"/>
  <c r="H5" i="7"/>
  <c r="I5" i="4"/>
  <c r="J5" i="4" s="1"/>
  <c r="J2" i="4"/>
  <c r="H49" i="7"/>
  <c r="I49" i="4"/>
  <c r="J49" i="4" s="1"/>
  <c r="H58" i="7"/>
  <c r="I58" i="4"/>
  <c r="J58" i="4" s="1"/>
  <c r="H43" i="7"/>
  <c r="I43" i="4"/>
  <c r="J43" i="4" s="1"/>
  <c r="J26" i="4"/>
  <c r="J2" i="7"/>
  <c r="H41" i="7"/>
  <c r="I41" i="4"/>
  <c r="J41" i="4" s="1"/>
  <c r="H19" i="7"/>
  <c r="I19" i="4"/>
  <c r="J19" i="4" s="1"/>
  <c r="H3" i="7"/>
  <c r="J3" i="7" s="1"/>
  <c r="I3" i="4"/>
  <c r="J3" i="4" s="1"/>
  <c r="H17" i="7"/>
  <c r="I17" i="4"/>
  <c r="J17" i="4" s="1"/>
  <c r="H10" i="7"/>
  <c r="I10" i="4"/>
  <c r="J10" i="4" s="1"/>
  <c r="H52" i="7"/>
  <c r="I52" i="4"/>
  <c r="J52" i="4" s="1"/>
  <c r="H29" i="7"/>
  <c r="I29" i="4"/>
  <c r="J29" i="4" s="1"/>
  <c r="H39" i="7"/>
  <c r="I39" i="4"/>
  <c r="J39" i="4" s="1"/>
  <c r="H50" i="7"/>
  <c r="I50" i="4"/>
  <c r="H13" i="7"/>
  <c r="I13" i="4"/>
  <c r="J13" i="4" s="1"/>
  <c r="H15" i="7"/>
  <c r="I15" i="4"/>
  <c r="J15" i="4" s="1"/>
  <c r="H36" i="7"/>
  <c r="I36" i="4"/>
  <c r="J36" i="4" s="1"/>
  <c r="I4" i="7"/>
  <c r="J4" i="7" s="1"/>
  <c r="F4" i="6"/>
  <c r="G4" i="6" s="1"/>
  <c r="B5" i="6" s="1"/>
  <c r="H27" i="7"/>
  <c r="I27" i="4"/>
  <c r="J27" i="4" s="1"/>
  <c r="H60" i="7"/>
  <c r="I60" i="4"/>
  <c r="J60" i="4" s="1"/>
  <c r="H55" i="7"/>
  <c r="I55" i="4"/>
  <c r="J55" i="4" s="1"/>
  <c r="B6" i="8"/>
  <c r="D4" i="5"/>
  <c r="B5" i="13" s="1"/>
  <c r="B3" i="14" s="1"/>
  <c r="B4" i="14" s="1"/>
  <c r="H24" i="7"/>
  <c r="I24" i="4"/>
  <c r="J24" i="4" s="1"/>
  <c r="D4" i="8"/>
  <c r="D5" i="8" l="1"/>
  <c r="D2" i="8"/>
  <c r="F5" i="5"/>
  <c r="B6" i="9" s="1"/>
  <c r="E5" i="5"/>
  <c r="E3" i="5"/>
  <c r="E6" i="5"/>
  <c r="E4" i="5"/>
  <c r="E2" i="5"/>
  <c r="F2" i="5"/>
  <c r="B3" i="9" s="1"/>
  <c r="D6" i="8"/>
  <c r="J50" i="4"/>
  <c r="F6" i="5" s="1"/>
  <c r="B7" i="9" s="1"/>
  <c r="K3" i="7"/>
  <c r="L3" i="7" s="1"/>
  <c r="K4" i="7"/>
  <c r="L4" i="7" s="1"/>
  <c r="K2" i="7"/>
  <c r="L2" i="7" s="1"/>
  <c r="D8" i="6"/>
  <c r="A9" i="6"/>
  <c r="F4" i="5"/>
  <c r="D3" i="8"/>
  <c r="B7" i="14"/>
  <c r="E5" i="6"/>
  <c r="B8" i="14"/>
  <c r="F3" i="5"/>
  <c r="B4" i="9" s="1"/>
  <c r="B3" i="10" l="1"/>
  <c r="B5" i="9"/>
  <c r="A10" i="6"/>
  <c r="D9" i="6"/>
  <c r="I5" i="7"/>
  <c r="F5" i="6"/>
  <c r="G5" i="6" s="1"/>
  <c r="B6" i="6" s="1"/>
  <c r="B8" i="10"/>
  <c r="E10" i="1" s="1"/>
  <c r="B7" i="10"/>
  <c r="E9" i="1" s="1"/>
  <c r="B4" i="10" l="1"/>
  <c r="E6" i="1" s="1"/>
  <c r="E5" i="1"/>
  <c r="D10" i="6"/>
  <c r="A11" i="6"/>
  <c r="J5" i="7"/>
  <c r="E6" i="6"/>
  <c r="K5" i="7" l="1"/>
  <c r="L5" i="7" s="1"/>
  <c r="I6" i="7"/>
  <c r="F6" i="6"/>
  <c r="G6" i="6" s="1"/>
  <c r="B7" i="6" s="1"/>
  <c r="A12" i="6"/>
  <c r="D11" i="6"/>
  <c r="A13" i="6" l="1"/>
  <c r="D12" i="6"/>
  <c r="E7" i="6"/>
  <c r="J6" i="7"/>
  <c r="K6" i="7" l="1"/>
  <c r="L6" i="7" s="1"/>
  <c r="I7" i="7"/>
  <c r="J7" i="7" s="1"/>
  <c r="F7" i="6"/>
  <c r="G7" i="6" s="1"/>
  <c r="B8" i="6" s="1"/>
  <c r="D13" i="6"/>
  <c r="A14" i="6"/>
  <c r="A15" i="6" l="1"/>
  <c r="D14" i="6"/>
  <c r="K7" i="7"/>
  <c r="L7" i="7" s="1"/>
  <c r="E8" i="6"/>
  <c r="I8" i="7" l="1"/>
  <c r="J8" i="7" s="1"/>
  <c r="F8" i="6"/>
  <c r="G8" i="6" s="1"/>
  <c r="B9" i="6" s="1"/>
  <c r="D15" i="6"/>
  <c r="A16" i="6"/>
  <c r="A17" i="6" l="1"/>
  <c r="D16" i="6"/>
  <c r="E9" i="6"/>
  <c r="K8" i="7"/>
  <c r="L8" i="7" s="1"/>
  <c r="I9" i="7" l="1"/>
  <c r="J9" i="7" s="1"/>
  <c r="F9" i="6"/>
  <c r="G9" i="6" s="1"/>
  <c r="B10" i="6" s="1"/>
  <c r="A18" i="6"/>
  <c r="D17" i="6"/>
  <c r="E10" i="6" l="1"/>
  <c r="K9" i="7"/>
  <c r="L9" i="7" s="1"/>
  <c r="A19" i="6"/>
  <c r="D18" i="6"/>
  <c r="A20" i="6" l="1"/>
  <c r="D19" i="6"/>
  <c r="I10" i="7"/>
  <c r="J10" i="7" s="1"/>
  <c r="F10" i="6"/>
  <c r="G10" i="6" s="1"/>
  <c r="B11" i="6" s="1"/>
  <c r="E11" i="6" l="1"/>
  <c r="K10" i="7"/>
  <c r="L10" i="7" s="1"/>
  <c r="D20" i="6"/>
  <c r="A21" i="6"/>
  <c r="A22" i="6" l="1"/>
  <c r="D21" i="6"/>
  <c r="I11" i="7"/>
  <c r="J11" i="7" s="1"/>
  <c r="F11" i="6"/>
  <c r="G11" i="6" s="1"/>
  <c r="B12" i="6" s="1"/>
  <c r="E12" i="6" l="1"/>
  <c r="K11" i="7"/>
  <c r="L11" i="7" s="1"/>
  <c r="D22" i="6"/>
  <c r="A23" i="6"/>
  <c r="A24" i="6" l="1"/>
  <c r="D23" i="6"/>
  <c r="I12" i="7"/>
  <c r="J12" i="7" s="1"/>
  <c r="F12" i="6"/>
  <c r="G12" i="6" s="1"/>
  <c r="B13" i="6" s="1"/>
  <c r="E13" i="6" l="1"/>
  <c r="K12" i="7"/>
  <c r="L12" i="7" s="1"/>
  <c r="A25" i="6"/>
  <c r="D24" i="6"/>
  <c r="I13" i="7" l="1"/>
  <c r="J13" i="7" s="1"/>
  <c r="F13" i="6"/>
  <c r="G13" i="6" s="1"/>
  <c r="B14" i="6" s="1"/>
  <c r="A26" i="6"/>
  <c r="D25" i="6"/>
  <c r="D26" i="6" l="1"/>
  <c r="A27" i="6"/>
  <c r="E14" i="6"/>
  <c r="K13" i="7"/>
  <c r="L13" i="7" s="1"/>
  <c r="I14" i="7" l="1"/>
  <c r="F14" i="6"/>
  <c r="G14" i="6" s="1"/>
  <c r="B15" i="6" s="1"/>
  <c r="A28" i="6"/>
  <c r="D27" i="6"/>
  <c r="D28" i="6" l="1"/>
  <c r="A29" i="6"/>
  <c r="E15" i="6"/>
  <c r="J14" i="7"/>
  <c r="A30" i="6" l="1"/>
  <c r="D29" i="6"/>
  <c r="K14" i="7"/>
  <c r="I15" i="7"/>
  <c r="F15" i="6"/>
  <c r="G15" i="6" s="1"/>
  <c r="B16" i="6" s="1"/>
  <c r="J15" i="7" l="1"/>
  <c r="L14" i="7"/>
  <c r="E16" i="6"/>
  <c r="D30" i="6"/>
  <c r="A31" i="6"/>
  <c r="A32" i="6" l="1"/>
  <c r="D31" i="6"/>
  <c r="I16" i="7"/>
  <c r="F16" i="6"/>
  <c r="G16" i="6" s="1"/>
  <c r="B17" i="6" s="1"/>
  <c r="K15" i="7"/>
  <c r="L15" i="7" s="1"/>
  <c r="E17" i="6" l="1"/>
  <c r="A33" i="6"/>
  <c r="D32" i="6"/>
  <c r="J16" i="7"/>
  <c r="K16" i="7" l="1"/>
  <c r="L16" i="7" s="1"/>
  <c r="D33" i="6"/>
  <c r="A34" i="6"/>
  <c r="I17" i="7"/>
  <c r="J17" i="7" s="1"/>
  <c r="F17" i="6"/>
  <c r="G17" i="6" s="1"/>
  <c r="B18" i="6" s="1"/>
  <c r="E18" i="6" l="1"/>
  <c r="K17" i="7"/>
  <c r="L17" i="7" s="1"/>
  <c r="A35" i="6"/>
  <c r="D34" i="6"/>
  <c r="D35" i="6" l="1"/>
  <c r="A36" i="6"/>
  <c r="I18" i="7"/>
  <c r="J18" i="7" s="1"/>
  <c r="F18" i="6"/>
  <c r="G18" i="6" s="1"/>
  <c r="B19" i="6" s="1"/>
  <c r="E19" i="6" l="1"/>
  <c r="A37" i="6"/>
  <c r="D36" i="6"/>
  <c r="K18" i="7"/>
  <c r="L18" i="7" s="1"/>
  <c r="A38" i="6" l="1"/>
  <c r="D37" i="6"/>
  <c r="I19" i="7"/>
  <c r="J19" i="7" s="1"/>
  <c r="F19" i="6"/>
  <c r="G19" i="6" s="1"/>
  <c r="B20" i="6" s="1"/>
  <c r="K19" i="7" l="1"/>
  <c r="L19" i="7" s="1"/>
  <c r="E20" i="6"/>
  <c r="D38" i="6"/>
  <c r="A39" i="6"/>
  <c r="A40" i="6" l="1"/>
  <c r="D39" i="6"/>
  <c r="I20" i="7"/>
  <c r="J20" i="7" s="1"/>
  <c r="F20" i="6"/>
  <c r="G20" i="6" s="1"/>
  <c r="B21" i="6" s="1"/>
  <c r="E21" i="6" l="1"/>
  <c r="K20" i="7"/>
  <c r="L20" i="7" s="1"/>
  <c r="D40" i="6"/>
  <c r="A41" i="6"/>
  <c r="A42" i="6" l="1"/>
  <c r="D41" i="6"/>
  <c r="I21" i="7"/>
  <c r="J21" i="7" s="1"/>
  <c r="F21" i="6"/>
  <c r="G21" i="6" s="1"/>
  <c r="B22" i="6" s="1"/>
  <c r="K21" i="7" l="1"/>
  <c r="L21" i="7" s="1"/>
  <c r="E22" i="6"/>
  <c r="D42" i="6"/>
  <c r="A43" i="6"/>
  <c r="I22" i="7" l="1"/>
  <c r="J22" i="7" s="1"/>
  <c r="F22" i="6"/>
  <c r="G22" i="6" s="1"/>
  <c r="B23" i="6" s="1"/>
  <c r="A44" i="6"/>
  <c r="D43" i="6"/>
  <c r="E23" i="6" l="1"/>
  <c r="K22" i="7"/>
  <c r="L22" i="7" s="1"/>
  <c r="D44" i="6"/>
  <c r="A45" i="6"/>
  <c r="D45" i="6" l="1"/>
  <c r="A46" i="6"/>
  <c r="I23" i="7"/>
  <c r="J23" i="7" s="1"/>
  <c r="F23" i="6"/>
  <c r="G23" i="6" s="1"/>
  <c r="B24" i="6" s="1"/>
  <c r="E24" i="6" l="1"/>
  <c r="K23" i="7"/>
  <c r="L23" i="7" s="1"/>
  <c r="A47" i="6"/>
  <c r="D46" i="6"/>
  <c r="D47" i="6" l="1"/>
  <c r="A48" i="6"/>
  <c r="I24" i="7"/>
  <c r="J24" i="7" s="1"/>
  <c r="F24" i="6"/>
  <c r="G24" i="6" s="1"/>
  <c r="B25" i="6" s="1"/>
  <c r="E25" i="6" l="1"/>
  <c r="A49" i="6"/>
  <c r="D48" i="6"/>
  <c r="K24" i="7"/>
  <c r="L24" i="7" s="1"/>
  <c r="D49" i="6" l="1"/>
  <c r="A50" i="6"/>
  <c r="I25" i="7"/>
  <c r="J25" i="7" s="1"/>
  <c r="F25" i="6"/>
  <c r="G25" i="6" s="1"/>
  <c r="B26" i="6" s="1"/>
  <c r="K25" i="7" l="1"/>
  <c r="L25" i="7" s="1"/>
  <c r="E26" i="6"/>
  <c r="D50" i="6"/>
  <c r="A51" i="6"/>
  <c r="A52" i="6" l="1"/>
  <c r="D51" i="6"/>
  <c r="I26" i="7"/>
  <c r="F26" i="6"/>
  <c r="G26" i="6" s="1"/>
  <c r="B27" i="6" s="1"/>
  <c r="J26" i="7" l="1"/>
  <c r="E27" i="6"/>
  <c r="D52" i="6"/>
  <c r="A53" i="6"/>
  <c r="A54" i="6" l="1"/>
  <c r="D53" i="6"/>
  <c r="I27" i="7"/>
  <c r="F27" i="6"/>
  <c r="G27" i="6" s="1"/>
  <c r="B28" i="6" s="1"/>
  <c r="K26" i="7"/>
  <c r="L26" i="7" s="1"/>
  <c r="J27" i="7" l="1"/>
  <c r="E28" i="6"/>
  <c r="D54" i="6"/>
  <c r="A55" i="6"/>
  <c r="A56" i="6" l="1"/>
  <c r="D55" i="6"/>
  <c r="I28" i="7"/>
  <c r="F28" i="6"/>
  <c r="G28" i="6" s="1"/>
  <c r="B29" i="6" s="1"/>
  <c r="K27" i="7"/>
  <c r="L27" i="7" s="1"/>
  <c r="J28" i="7" l="1"/>
  <c r="D56" i="6"/>
  <c r="A57" i="6"/>
  <c r="E29" i="6"/>
  <c r="I29" i="7" l="1"/>
  <c r="J29" i="7" s="1"/>
  <c r="F29" i="6"/>
  <c r="G29" i="6" s="1"/>
  <c r="B30" i="6" s="1"/>
  <c r="D57" i="6"/>
  <c r="A58" i="6"/>
  <c r="K28" i="7"/>
  <c r="L28" i="7" s="1"/>
  <c r="A59" i="6" l="1"/>
  <c r="D58" i="6"/>
  <c r="E30" i="6"/>
  <c r="K29" i="7"/>
  <c r="L29" i="7" s="1"/>
  <c r="I30" i="7" l="1"/>
  <c r="J30" i="7" s="1"/>
  <c r="F30" i="6"/>
  <c r="G30" i="6" s="1"/>
  <c r="B31" i="6" s="1"/>
  <c r="D59" i="6"/>
  <c r="A60" i="6"/>
  <c r="A61" i="6" l="1"/>
  <c r="D60" i="6"/>
  <c r="K30" i="7"/>
  <c r="L30" i="7" s="1"/>
  <c r="E31" i="6"/>
  <c r="I31" i="7" l="1"/>
  <c r="J31" i="7" s="1"/>
  <c r="F31" i="6"/>
  <c r="G31" i="6" s="1"/>
  <c r="B32" i="6" s="1"/>
  <c r="D61" i="6"/>
  <c r="A62" i="6"/>
  <c r="E32" i="6" l="1"/>
  <c r="D62" i="6"/>
  <c r="G62" i="6"/>
  <c r="B62" i="6"/>
  <c r="E62" i="6" s="1"/>
  <c r="K31" i="7"/>
  <c r="L31" i="7" s="1"/>
  <c r="F62" i="6" l="1"/>
  <c r="I32" i="7"/>
  <c r="J32" i="7" s="1"/>
  <c r="F32" i="6"/>
  <c r="G32" i="6" s="1"/>
  <c r="B33" i="6" s="1"/>
  <c r="E33" i="6" l="1"/>
  <c r="K32" i="7"/>
  <c r="L32" i="7" s="1"/>
  <c r="I33" i="7" l="1"/>
  <c r="J33" i="7" s="1"/>
  <c r="F33" i="6"/>
  <c r="G33" i="6" s="1"/>
  <c r="B34" i="6" s="1"/>
  <c r="E34" i="6" l="1"/>
  <c r="K33" i="7"/>
  <c r="L33" i="7" s="1"/>
  <c r="I34" i="7" l="1"/>
  <c r="J34" i="7" s="1"/>
  <c r="F34" i="6"/>
  <c r="G34" i="6" s="1"/>
  <c r="B35" i="6" s="1"/>
  <c r="E35" i="6" l="1"/>
  <c r="K34" i="7"/>
  <c r="L34" i="7" s="1"/>
  <c r="I35" i="7" l="1"/>
  <c r="J35" i="7" s="1"/>
  <c r="F35" i="6"/>
  <c r="G35" i="6" s="1"/>
  <c r="B36" i="6" s="1"/>
  <c r="E36" i="6" l="1"/>
  <c r="K35" i="7"/>
  <c r="L35" i="7" s="1"/>
  <c r="I36" i="7" l="1"/>
  <c r="J36" i="7" s="1"/>
  <c r="F36" i="6"/>
  <c r="G36" i="6" s="1"/>
  <c r="B37" i="6" s="1"/>
  <c r="E37" i="6" l="1"/>
  <c r="K36" i="7"/>
  <c r="L36" i="7" s="1"/>
  <c r="I37" i="7" l="1"/>
  <c r="J37" i="7" s="1"/>
  <c r="F37" i="6"/>
  <c r="G37" i="6" s="1"/>
  <c r="B38" i="6" s="1"/>
  <c r="E38" i="6" l="1"/>
  <c r="K37" i="7"/>
  <c r="L37" i="7" s="1"/>
  <c r="I38" i="7" l="1"/>
  <c r="F38" i="6"/>
  <c r="G38" i="6" s="1"/>
  <c r="B39" i="6" s="1"/>
  <c r="E39" i="6" l="1"/>
  <c r="J38" i="7"/>
  <c r="K38" i="7" l="1"/>
  <c r="L38" i="7" s="1"/>
  <c r="I39" i="7"/>
  <c r="F39" i="6"/>
  <c r="G39" i="6" s="1"/>
  <c r="B40" i="6" s="1"/>
  <c r="E40" i="6" l="1"/>
  <c r="J39" i="7"/>
  <c r="K39" i="7" l="1"/>
  <c r="L39" i="7" s="1"/>
  <c r="I40" i="7"/>
  <c r="F40" i="6"/>
  <c r="G40" i="6" s="1"/>
  <c r="B41" i="6" s="1"/>
  <c r="J40" i="7" l="1"/>
  <c r="E41" i="6"/>
  <c r="I41" i="7" l="1"/>
  <c r="J41" i="7" s="1"/>
  <c r="F41" i="6"/>
  <c r="G41" i="6" s="1"/>
  <c r="B42" i="6" s="1"/>
  <c r="K40" i="7"/>
  <c r="L40" i="7" s="1"/>
  <c r="E42" i="6" l="1"/>
  <c r="K41" i="7"/>
  <c r="L41" i="7" s="1"/>
  <c r="I42" i="7" l="1"/>
  <c r="J42" i="7" s="1"/>
  <c r="F42" i="6"/>
  <c r="G42" i="6" s="1"/>
  <c r="B43" i="6" s="1"/>
  <c r="E43" i="6" l="1"/>
  <c r="K42" i="7"/>
  <c r="L42" i="7" s="1"/>
  <c r="I43" i="7" l="1"/>
  <c r="J43" i="7" s="1"/>
  <c r="F43" i="6"/>
  <c r="G43" i="6" s="1"/>
  <c r="B44" i="6" s="1"/>
  <c r="E44" i="6" l="1"/>
  <c r="K43" i="7"/>
  <c r="L43" i="7" s="1"/>
  <c r="I44" i="7" l="1"/>
  <c r="J44" i="7" s="1"/>
  <c r="F44" i="6"/>
  <c r="G44" i="6" s="1"/>
  <c r="B45" i="6" s="1"/>
  <c r="E45" i="6" l="1"/>
  <c r="K44" i="7"/>
  <c r="L44" i="7" s="1"/>
  <c r="I45" i="7" l="1"/>
  <c r="J45" i="7" s="1"/>
  <c r="F45" i="6"/>
  <c r="G45" i="6" s="1"/>
  <c r="B46" i="6" s="1"/>
  <c r="E46" i="6" l="1"/>
  <c r="K45" i="7"/>
  <c r="L45" i="7" s="1"/>
  <c r="I46" i="7" l="1"/>
  <c r="J46" i="7" s="1"/>
  <c r="F46" i="6"/>
  <c r="G46" i="6" s="1"/>
  <c r="B47" i="6" s="1"/>
  <c r="E47" i="6" l="1"/>
  <c r="K46" i="7"/>
  <c r="L46" i="7" s="1"/>
  <c r="I47" i="7" l="1"/>
  <c r="J47" i="7" s="1"/>
  <c r="F47" i="6"/>
  <c r="G47" i="6" s="1"/>
  <c r="B48" i="6" s="1"/>
  <c r="E48" i="6" l="1"/>
  <c r="K47" i="7"/>
  <c r="L47" i="7" s="1"/>
  <c r="I48" i="7" l="1"/>
  <c r="J48" i="7" s="1"/>
  <c r="F48" i="6"/>
  <c r="G48" i="6" s="1"/>
  <c r="B49" i="6" s="1"/>
  <c r="E49" i="6" l="1"/>
  <c r="K48" i="7"/>
  <c r="L48" i="7" s="1"/>
  <c r="I49" i="7" l="1"/>
  <c r="J49" i="7" s="1"/>
  <c r="F49" i="6"/>
  <c r="G49" i="6" s="1"/>
  <c r="B50" i="6" s="1"/>
  <c r="E50" i="6" l="1"/>
  <c r="K49" i="7"/>
  <c r="L49" i="7" s="1"/>
  <c r="I50" i="7" l="1"/>
  <c r="F50" i="6"/>
  <c r="G50" i="6" s="1"/>
  <c r="B51" i="6" s="1"/>
  <c r="E51" i="6" l="1"/>
  <c r="J50" i="7"/>
  <c r="K50" i="7" l="1"/>
  <c r="L50" i="7" s="1"/>
  <c r="I51" i="7"/>
  <c r="F51" i="6"/>
  <c r="G51" i="6" s="1"/>
  <c r="B52" i="6" s="1"/>
  <c r="J51" i="7" l="1"/>
  <c r="E52" i="6"/>
  <c r="I52" i="7" l="1"/>
  <c r="F52" i="6"/>
  <c r="G52" i="6" s="1"/>
  <c r="B53" i="6" s="1"/>
  <c r="K51" i="7"/>
  <c r="L51" i="7" s="1"/>
  <c r="E53" i="6" l="1"/>
  <c r="J52" i="7"/>
  <c r="K52" i="7" l="1"/>
  <c r="L52" i="7" s="1"/>
  <c r="I53" i="7"/>
  <c r="F53" i="6"/>
  <c r="G53" i="6" s="1"/>
  <c r="B54" i="6" s="1"/>
  <c r="J53" i="7" l="1"/>
  <c r="E54" i="6"/>
  <c r="I54" i="7" l="1"/>
  <c r="J54" i="7" s="1"/>
  <c r="F54" i="6"/>
  <c r="G54" i="6" s="1"/>
  <c r="B55" i="6" s="1"/>
  <c r="K53" i="7"/>
  <c r="L53" i="7" s="1"/>
  <c r="E55" i="6" l="1"/>
  <c r="K54" i="7"/>
  <c r="L54" i="7" s="1"/>
  <c r="I55" i="7" l="1"/>
  <c r="J55" i="7" s="1"/>
  <c r="F55" i="6"/>
  <c r="G55" i="6" s="1"/>
  <c r="B56" i="6" s="1"/>
  <c r="E56" i="6" l="1"/>
  <c r="K55" i="7"/>
  <c r="L55" i="7" s="1"/>
  <c r="I56" i="7" l="1"/>
  <c r="J56" i="7" s="1"/>
  <c r="F56" i="6"/>
  <c r="G56" i="6" s="1"/>
  <c r="B57" i="6" s="1"/>
  <c r="E57" i="6" l="1"/>
  <c r="K56" i="7"/>
  <c r="L56" i="7" s="1"/>
  <c r="I57" i="7" l="1"/>
  <c r="J57" i="7" s="1"/>
  <c r="F57" i="6"/>
  <c r="G57" i="6" s="1"/>
  <c r="B58" i="6" s="1"/>
  <c r="E58" i="6" l="1"/>
  <c r="K57" i="7"/>
  <c r="L57" i="7" s="1"/>
  <c r="I58" i="7" l="1"/>
  <c r="J58" i="7" s="1"/>
  <c r="F58" i="6"/>
  <c r="G58" i="6" s="1"/>
  <c r="B59" i="6" s="1"/>
  <c r="E59" i="6" l="1"/>
  <c r="K58" i="7"/>
  <c r="L58" i="7" s="1"/>
  <c r="I59" i="7" l="1"/>
  <c r="J59" i="7" s="1"/>
  <c r="F59" i="6"/>
  <c r="G59" i="6" s="1"/>
  <c r="B60" i="6" s="1"/>
  <c r="E60" i="6" l="1"/>
  <c r="K59" i="7"/>
  <c r="L59" i="7" s="1"/>
  <c r="I60" i="7" l="1"/>
  <c r="J60" i="7" s="1"/>
  <c r="F60" i="6"/>
  <c r="G60" i="6" s="1"/>
  <c r="B61" i="6" s="1"/>
  <c r="E61" i="6" l="1"/>
  <c r="K60" i="7"/>
  <c r="L60" i="7" s="1"/>
  <c r="I61" i="7" l="1"/>
  <c r="F61" i="6"/>
  <c r="G61" i="6" s="1"/>
  <c r="J61" i="7" l="1"/>
  <c r="E2" i="8"/>
  <c r="F2" i="8" s="1"/>
  <c r="E3" i="8"/>
  <c r="F3" i="8" s="1"/>
  <c r="E4" i="8"/>
  <c r="F4" i="8" s="1"/>
  <c r="E5" i="8"/>
  <c r="F5" i="8" s="1"/>
  <c r="E6" i="8"/>
  <c r="F6" i="8" s="1"/>
  <c r="K61" i="7" l="1"/>
  <c r="L61" i="7" s="1"/>
  <c r="H2" i="8" l="1"/>
  <c r="B3" i="11" s="1"/>
  <c r="H3" i="8"/>
  <c r="B4" i="11" s="1"/>
  <c r="H4" i="8"/>
  <c r="H5" i="8"/>
  <c r="B6" i="11" s="1"/>
  <c r="H6" i="8"/>
  <c r="B7" i="11" s="1"/>
  <c r="G2" i="8"/>
  <c r="G3" i="8"/>
  <c r="G4" i="8"/>
  <c r="G5" i="8"/>
  <c r="G6" i="8"/>
  <c r="B3" i="12" l="1"/>
  <c r="B5" i="11"/>
  <c r="B7" i="12"/>
  <c r="E19" i="1" s="1"/>
  <c r="B8" i="12"/>
  <c r="E20" i="1" s="1"/>
  <c r="B4" i="12" l="1"/>
  <c r="E16" i="1" s="1"/>
  <c r="E15" i="1"/>
</calcChain>
</file>

<file path=xl/sharedStrings.xml><?xml version="1.0" encoding="utf-8"?>
<sst xmlns="http://schemas.openxmlformats.org/spreadsheetml/2006/main" count="144" uniqueCount="83">
  <si>
    <t>Параметры</t>
  </si>
  <si>
    <t>Инвестиции</t>
  </si>
  <si>
    <t>Мощность, кг/мес</t>
  </si>
  <si>
    <t>Базовая цена, руб/кг</t>
  </si>
  <si>
    <t>Ставка НП (консервативная)</t>
  </si>
  <si>
    <t>Ставка НП (фактическая)</t>
  </si>
  <si>
    <t>Тип сырья</t>
  </si>
  <si>
    <t>Горбыль</t>
  </si>
  <si>
    <t>Ставка дисконтирования, %</t>
  </si>
  <si>
    <t>Рост цены в год, %</t>
  </si>
  <si>
    <t>Рост затрат в год, %</t>
  </si>
  <si>
    <t>Кол-во лет модели</t>
  </si>
  <si>
    <t>Кол-во месяцев</t>
  </si>
  <si>
    <t>Кредит: доля от инвестиций</t>
  </si>
  <si>
    <t>Кредит: ставка, % годовых</t>
  </si>
  <si>
    <t>Кредит: срок, лет</t>
  </si>
  <si>
    <t>Сумма кредита</t>
  </si>
  <si>
    <t>Собственные средства</t>
  </si>
  <si>
    <t>Срок кредита, мес</t>
  </si>
  <si>
    <t>Помесячная загрузка</t>
  </si>
  <si>
    <t>Месяц</t>
  </si>
  <si>
    <t>Год</t>
  </si>
  <si>
    <t>Коэф_загрузки</t>
  </si>
  <si>
    <t>Себестоимость на 1 кг</t>
  </si>
  <si>
    <t>Сырье, руб/кг</t>
  </si>
  <si>
    <t>Переменные, руб/кг</t>
  </si>
  <si>
    <t>Постоянные, руб/кг</t>
  </si>
  <si>
    <t>Упаковка, руб/кг</t>
  </si>
  <si>
    <t>ФОТ фасовщика, руб/кг</t>
  </si>
  <si>
    <t>Всего, руб/кг</t>
  </si>
  <si>
    <t>Береза</t>
  </si>
  <si>
    <t>Итого себестоимость по выбранному сырью</t>
  </si>
  <si>
    <t>Объем, кг</t>
  </si>
  <si>
    <t>Цена, руб/кг</t>
  </si>
  <si>
    <t>Себестоимость, руб/кг</t>
  </si>
  <si>
    <t>Выручка</t>
  </si>
  <si>
    <t>Сумма расходов</t>
  </si>
  <si>
    <t>Прибыль до налога</t>
  </si>
  <si>
    <t>Налог (факт)</t>
  </si>
  <si>
    <t>Чистая прибыль (факт)</t>
  </si>
  <si>
    <t>Расходы</t>
  </si>
  <si>
    <t>Остаток на начало</t>
  </si>
  <si>
    <t>Месячная ставка</t>
  </si>
  <si>
    <t>Платеж аннуитет</t>
  </si>
  <si>
    <t>Проценты</t>
  </si>
  <si>
    <t>Погашение тела</t>
  </si>
  <si>
    <t>Остаток на конец</t>
  </si>
  <si>
    <t>Прибыль до налога до процентов</t>
  </si>
  <si>
    <t>Проценты по кредиту</t>
  </si>
  <si>
    <t>Денежный поток</t>
  </si>
  <si>
    <t>Среднегодовая чистая прибыль (годы 3-5), факт</t>
  </si>
  <si>
    <t>Срок простой окупаемости, лет (факт)</t>
  </si>
  <si>
    <t>NPV (факт, без кредита)</t>
  </si>
  <si>
    <t>IRR (факт, без кредита)</t>
  </si>
  <si>
    <t>Денежный поток (equity, факт)</t>
  </si>
  <si>
    <t>Среднегодовая чистая прибыль (годы 3-5), факт, с кредитом</t>
  </si>
  <si>
    <t>Доходность на equity, % в год (факт)</t>
  </si>
  <si>
    <t>NPV (equity, факт, с кредитом)</t>
  </si>
  <si>
    <t>IRR (equity, факт, с кредитом)</t>
  </si>
  <si>
    <t>Денежный поток (конс, без кредита)</t>
  </si>
  <si>
    <t>Среднегодовая чистая прибыль (годы 3-5), конс</t>
  </si>
  <si>
    <t>Срок простой окупаемости, лет (конс)</t>
  </si>
  <si>
    <t>NPV (консервативный НП, без кредита)</t>
  </si>
  <si>
    <t>IRR (консервативный НП, без кредита)</t>
  </si>
  <si>
    <t>Сценарий</t>
  </si>
  <si>
    <t>Загрузка год1</t>
  </si>
  <si>
    <t>Загрузка год2</t>
  </si>
  <si>
    <t>Загрузка год3+</t>
  </si>
  <si>
    <t>Чистая прибыль год3, млн (факт, без кредита)</t>
  </si>
  <si>
    <t>Окупаемость, лет (факт)</t>
  </si>
  <si>
    <t>IRR (факт, без кредита), %</t>
  </si>
  <si>
    <t>Микс</t>
  </si>
  <si>
    <t>Микс (ручной расчет)</t>
  </si>
  <si>
    <t>Комментарий:</t>
  </si>
  <si>
    <t>1) Меняйте параметры на листе "Параметры" (тип сырья, цена, загрузка).</t>
  </si>
  <si>
    <t>2) Смотрите "PL_год", "Показатели" и "Показатели_кредит".</t>
  </si>
  <si>
    <t>3) Вносите итоговые цифры в строки сценариев для сравнения.</t>
  </si>
  <si>
    <t>Чистая прибыль
(факт)</t>
  </si>
  <si>
    <t>Цена за м3</t>
  </si>
  <si>
    <t>Выход, кг</t>
  </si>
  <si>
    <t>С использованием кредита</t>
  </si>
  <si>
    <t>Показатели бизнеса</t>
  </si>
  <si>
    <t>Микс 50/50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</si>
</sst>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-* #,##0_-;\-* #,##0_-;_-* &quot;-&quot;??_-;_-@_-"/>
    <numFmt numFmtId="165" formatCode="0.00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3" tint="0.39997558519241921"/>
      <name val="Calibri"/>
      <family val="2"/>
      <scheme val="minor"/>
    </font>
    <font>
      <b/>
      <sz val="11"/>
      <color theme="3" tint="0.3999755851924192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9">
    <xf numFmtId="0" fontId="0" fillId="0" borderId="0" xfId="0"/>
    <xf numFmtId="43" fontId="0" fillId="0" borderId="0" xfId="1" applyFont="1"/>
    <xf numFmtId="164" fontId="0" fillId="0" borderId="0" xfId="1" applyNumberFormat="1" applyFont="1"/>
    <xf numFmtId="10" fontId="0" fillId="0" borderId="0" xfId="2" applyNumberFormat="1" applyFont="1"/>
    <xf numFmtId="0" fontId="0" fillId="0" borderId="0" xfId="0" applyAlignment="1">
      <alignment wrapText="1"/>
    </xf>
    <xf numFmtId="164" fontId="0" fillId="0" borderId="0" xfId="1" applyNumberFormat="1" applyFont="1" applyAlignment="1">
      <alignment wrapText="1"/>
    </xf>
    <xf numFmtId="43" fontId="0" fillId="0" borderId="0" xfId="1" applyFont="1" applyAlignment="1">
      <alignment wrapText="1"/>
    </xf>
    <xf numFmtId="165" fontId="0" fillId="0" borderId="0" xfId="0" applyNumberFormat="1"/>
    <xf numFmtId="2" fontId="0" fillId="0" borderId="0" xfId="0" applyNumberFormat="1"/>
    <xf numFmtId="164" fontId="2" fillId="0" borderId="0" xfId="1" applyNumberFormat="1" applyFont="1"/>
    <xf numFmtId="0" fontId="2" fillId="0" borderId="0" xfId="0" applyFont="1" applyAlignment="1">
      <alignment wrapText="1"/>
    </xf>
    <xf numFmtId="3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164" fontId="0" fillId="0" borderId="4" xfId="1" applyNumberFormat="1" applyFont="1" applyBorder="1"/>
    <xf numFmtId="9" fontId="0" fillId="0" borderId="4" xfId="2" applyFont="1" applyBorder="1"/>
    <xf numFmtId="0" fontId="0" fillId="0" borderId="5" xfId="0" applyBorder="1"/>
    <xf numFmtId="9" fontId="0" fillId="0" borderId="6" xfId="2" applyFont="1" applyBorder="1"/>
    <xf numFmtId="0" fontId="3" fillId="0" borderId="3" xfId="0" applyFont="1" applyBorder="1"/>
    <xf numFmtId="0" fontId="0" fillId="2" borderId="3" xfId="0" applyFill="1" applyBorder="1"/>
    <xf numFmtId="0" fontId="0" fillId="3" borderId="0" xfId="0" applyFill="1"/>
    <xf numFmtId="164" fontId="4" fillId="3" borderId="0" xfId="1" applyNumberFormat="1" applyFont="1" applyFill="1"/>
    <xf numFmtId="164" fontId="4" fillId="0" borderId="2" xfId="1" applyNumberFormat="1" applyFont="1" applyBorder="1"/>
    <xf numFmtId="164" fontId="4" fillId="2" borderId="4" xfId="1" applyNumberFormat="1" applyFont="1" applyFill="1" applyBorder="1"/>
    <xf numFmtId="2" fontId="4" fillId="2" borderId="4" xfId="0" applyNumberFormat="1" applyFont="1" applyFill="1" applyBorder="1"/>
    <xf numFmtId="9" fontId="4" fillId="2" borderId="4" xfId="2" applyFont="1" applyFill="1" applyBorder="1"/>
    <xf numFmtId="0" fontId="3" fillId="0" borderId="1" xfId="0" applyFont="1" applyBorder="1"/>
  </cellXfs>
  <cellStyles count="3">
    <cellStyle name="Обычный" xfId="0" builtinId="0"/>
    <cellStyle name="Процентный" xfId="2" builtinId="5"/>
    <cellStyle name="Финансовый" xfId="1" builtinId="3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84"/>
  <sheetViews>
    <sheetView tabSelected="1" zoomScale="130" zoomScaleNormal="130" workbookViewId="0">
      <selection activeCell="E20" sqref="D4:E20"/>
    </sheetView>
  </sheetViews>
  <sheetFormatPr defaultRowHeight="15" x14ac:dyDescent="0.25"/>
  <cols>
    <col min="1" max="1" width="27.140625" bestFit="1" customWidth="1"/>
    <col min="2" max="2" width="22" customWidth="1"/>
    <col min="3" max="3" width="14.7109375" customWidth="1"/>
    <col min="4" max="4" width="55.42578125" customWidth="1"/>
    <col min="5" max="5" width="14.140625" customWidth="1"/>
  </cols>
  <sheetData>
    <row r="1" spans="1:5" x14ac:dyDescent="0.25">
      <c r="A1" t="s">
        <v>0</v>
      </c>
      <c r="D1" s="28" t="s">
        <v>81</v>
      </c>
      <c r="E1" s="13"/>
    </row>
    <row r="2" spans="1:5" x14ac:dyDescent="0.25">
      <c r="A2" s="22" t="s">
        <v>1</v>
      </c>
      <c r="B2" s="23">
        <v>170000000</v>
      </c>
      <c r="D2" s="14"/>
      <c r="E2" s="15"/>
    </row>
    <row r="3" spans="1:5" ht="15.75" thickBot="1" x14ac:dyDescent="0.3">
      <c r="A3" t="s">
        <v>2</v>
      </c>
      <c r="B3" s="23">
        <v>200000</v>
      </c>
      <c r="D3" s="20" t="s">
        <v>17</v>
      </c>
      <c r="E3" s="15"/>
    </row>
    <row r="4" spans="1:5" x14ac:dyDescent="0.25">
      <c r="A4" t="s">
        <v>3</v>
      </c>
      <c r="B4">
        <v>45</v>
      </c>
      <c r="D4" s="12" t="s">
        <v>1</v>
      </c>
      <c r="E4" s="24">
        <f>Показатели!$B$2</f>
        <v>170000000</v>
      </c>
    </row>
    <row r="5" spans="1:5" x14ac:dyDescent="0.25">
      <c r="A5" t="s">
        <v>4</v>
      </c>
      <c r="B5">
        <v>0.25</v>
      </c>
      <c r="D5" s="14" t="s">
        <v>50</v>
      </c>
      <c r="E5" s="25">
        <f>Показатели!$B$3</f>
        <v>68749098.327000007</v>
      </c>
    </row>
    <row r="6" spans="1:5" x14ac:dyDescent="0.25">
      <c r="A6" t="s">
        <v>5</v>
      </c>
      <c r="B6">
        <v>0.02</v>
      </c>
      <c r="D6" s="21" t="s">
        <v>51</v>
      </c>
      <c r="E6" s="26">
        <f>Показатели!$B$4</f>
        <v>2.4727597035732392</v>
      </c>
    </row>
    <row r="7" spans="1:5" x14ac:dyDescent="0.25">
      <c r="A7" t="s">
        <v>6</v>
      </c>
      <c r="B7" s="22" t="s">
        <v>7</v>
      </c>
      <c r="D7" s="14"/>
      <c r="E7" s="15"/>
    </row>
    <row r="8" spans="1:5" x14ac:dyDescent="0.25">
      <c r="A8" t="s">
        <v>8</v>
      </c>
      <c r="B8">
        <v>0.2</v>
      </c>
      <c r="D8" s="14" t="s">
        <v>8</v>
      </c>
      <c r="E8" s="17">
        <f>Показатели!$B$6</f>
        <v>0.2</v>
      </c>
    </row>
    <row r="9" spans="1:5" x14ac:dyDescent="0.25">
      <c r="D9" s="14" t="s">
        <v>52</v>
      </c>
      <c r="E9" s="16">
        <f>Показатели!$B$7</f>
        <v>8479237.48046875</v>
      </c>
    </row>
    <row r="10" spans="1:5" ht="15.75" thickBot="1" x14ac:dyDescent="0.3">
      <c r="A10" t="s">
        <v>9</v>
      </c>
      <c r="B10">
        <v>0.05</v>
      </c>
      <c r="D10" s="18" t="s">
        <v>53</v>
      </c>
      <c r="E10" s="19">
        <f>Показатели!$B$8</f>
        <v>0.22079917732120391</v>
      </c>
    </row>
    <row r="11" spans="1:5" x14ac:dyDescent="0.25">
      <c r="A11" t="s">
        <v>10</v>
      </c>
      <c r="B11">
        <v>0.05</v>
      </c>
      <c r="D11" s="14"/>
      <c r="E11" s="15"/>
    </row>
    <row r="12" spans="1:5" x14ac:dyDescent="0.25">
      <c r="D12" s="14"/>
      <c r="E12" s="15"/>
    </row>
    <row r="13" spans="1:5" ht="15.75" thickBot="1" x14ac:dyDescent="0.3">
      <c r="A13" t="s">
        <v>11</v>
      </c>
      <c r="B13">
        <v>5</v>
      </c>
      <c r="D13" s="20" t="s">
        <v>80</v>
      </c>
      <c r="E13" s="15"/>
    </row>
    <row r="14" spans="1:5" x14ac:dyDescent="0.25">
      <c r="A14" t="s">
        <v>12</v>
      </c>
      <c r="B14">
        <f>B13*12</f>
        <v>60</v>
      </c>
      <c r="D14" s="12" t="s">
        <v>17</v>
      </c>
      <c r="E14" s="24">
        <f>Показатели_кредит!B2</f>
        <v>85000000</v>
      </c>
    </row>
    <row r="15" spans="1:5" x14ac:dyDescent="0.25">
      <c r="D15" s="14" t="s">
        <v>55</v>
      </c>
      <c r="E15" s="25">
        <f>Показатели_кредит!B3</f>
        <v>64024238.774961472</v>
      </c>
    </row>
    <row r="16" spans="1:5" x14ac:dyDescent="0.25">
      <c r="A16" t="s">
        <v>13</v>
      </c>
      <c r="B16">
        <v>0.5</v>
      </c>
      <c r="D16" s="21" t="s">
        <v>56</v>
      </c>
      <c r="E16" s="27">
        <f>Показатели_кредит!B4</f>
        <v>0.75322633852895848</v>
      </c>
    </row>
    <row r="17" spans="1:5" x14ac:dyDescent="0.25">
      <c r="A17" t="s">
        <v>14</v>
      </c>
      <c r="B17">
        <v>0.15</v>
      </c>
      <c r="D17" s="14"/>
      <c r="E17" s="15"/>
    </row>
    <row r="18" spans="1:5" x14ac:dyDescent="0.25">
      <c r="A18" t="s">
        <v>15</v>
      </c>
      <c r="B18">
        <v>5</v>
      </c>
      <c r="D18" s="14" t="s">
        <v>8</v>
      </c>
      <c r="E18" s="15">
        <f>Показатели_кредит!B6</f>
        <v>0.2</v>
      </c>
    </row>
    <row r="19" spans="1:5" x14ac:dyDescent="0.25">
      <c r="A19" t="s">
        <v>16</v>
      </c>
      <c r="B19">
        <f>B2*B16</f>
        <v>85000000</v>
      </c>
      <c r="D19" s="14" t="s">
        <v>57</v>
      </c>
      <c r="E19" s="16">
        <f>Показатели_кредит!B7</f>
        <v>69564994.556448877</v>
      </c>
    </row>
    <row r="20" spans="1:5" ht="15.75" thickBot="1" x14ac:dyDescent="0.3">
      <c r="A20" t="s">
        <v>17</v>
      </c>
      <c r="B20">
        <f>B2-B19</f>
        <v>85000000</v>
      </c>
      <c r="D20" s="18" t="s">
        <v>58</v>
      </c>
      <c r="E20" s="19">
        <f>Показатели_кредит!B8</f>
        <v>0.48950299263372177</v>
      </c>
    </row>
    <row r="21" spans="1:5" x14ac:dyDescent="0.25">
      <c r="A21" t="s">
        <v>18</v>
      </c>
      <c r="B21">
        <f>B18*12</f>
        <v>60</v>
      </c>
    </row>
    <row r="23" spans="1:5" x14ac:dyDescent="0.25">
      <c r="A23" t="s">
        <v>19</v>
      </c>
    </row>
    <row r="24" spans="1:5" x14ac:dyDescent="0.25">
      <c r="A24" t="s">
        <v>20</v>
      </c>
      <c r="B24" t="s">
        <v>21</v>
      </c>
      <c r="C24" t="s">
        <v>22</v>
      </c>
    </row>
    <row r="25" spans="1:5" x14ac:dyDescent="0.25">
      <c r="A25">
        <v>1</v>
      </c>
      <c r="B25">
        <f t="shared" ref="B25:B56" si="0">ROUNDUP(A25/12,0)</f>
        <v>1</v>
      </c>
      <c r="C25">
        <f t="shared" ref="C25:C56" si="1">IF(B25=1,0.8,IF(B25=2,0.9,1))</f>
        <v>0.8</v>
      </c>
    </row>
    <row r="26" spans="1:5" x14ac:dyDescent="0.25">
      <c r="A26">
        <v>2</v>
      </c>
      <c r="B26">
        <f t="shared" si="0"/>
        <v>1</v>
      </c>
      <c r="C26">
        <f t="shared" si="1"/>
        <v>0.8</v>
      </c>
    </row>
    <row r="27" spans="1:5" x14ac:dyDescent="0.25">
      <c r="A27">
        <v>3</v>
      </c>
      <c r="B27">
        <f t="shared" si="0"/>
        <v>1</v>
      </c>
      <c r="C27">
        <f t="shared" si="1"/>
        <v>0.8</v>
      </c>
    </row>
    <row r="28" spans="1:5" x14ac:dyDescent="0.25">
      <c r="A28">
        <v>4</v>
      </c>
      <c r="B28">
        <f t="shared" si="0"/>
        <v>1</v>
      </c>
      <c r="C28">
        <f t="shared" si="1"/>
        <v>0.8</v>
      </c>
    </row>
    <row r="29" spans="1:5" x14ac:dyDescent="0.25">
      <c r="A29">
        <v>5</v>
      </c>
      <c r="B29">
        <f t="shared" si="0"/>
        <v>1</v>
      </c>
      <c r="C29">
        <f t="shared" si="1"/>
        <v>0.8</v>
      </c>
    </row>
    <row r="30" spans="1:5" x14ac:dyDescent="0.25">
      <c r="A30">
        <v>6</v>
      </c>
      <c r="B30">
        <f t="shared" si="0"/>
        <v>1</v>
      </c>
      <c r="C30">
        <f t="shared" si="1"/>
        <v>0.8</v>
      </c>
    </row>
    <row r="31" spans="1:5" x14ac:dyDescent="0.25">
      <c r="A31">
        <v>7</v>
      </c>
      <c r="B31">
        <f t="shared" si="0"/>
        <v>1</v>
      </c>
      <c r="C31">
        <f t="shared" si="1"/>
        <v>0.8</v>
      </c>
    </row>
    <row r="32" spans="1:5" x14ac:dyDescent="0.25">
      <c r="A32">
        <v>8</v>
      </c>
      <c r="B32">
        <f t="shared" si="0"/>
        <v>1</v>
      </c>
      <c r="C32">
        <f t="shared" si="1"/>
        <v>0.8</v>
      </c>
    </row>
    <row r="33" spans="1:3" x14ac:dyDescent="0.25">
      <c r="A33">
        <v>9</v>
      </c>
      <c r="B33">
        <f t="shared" si="0"/>
        <v>1</v>
      </c>
      <c r="C33">
        <f t="shared" si="1"/>
        <v>0.8</v>
      </c>
    </row>
    <row r="34" spans="1:3" x14ac:dyDescent="0.25">
      <c r="A34">
        <v>10</v>
      </c>
      <c r="B34">
        <f t="shared" si="0"/>
        <v>1</v>
      </c>
      <c r="C34">
        <f t="shared" si="1"/>
        <v>0.8</v>
      </c>
    </row>
    <row r="35" spans="1:3" x14ac:dyDescent="0.25">
      <c r="A35">
        <v>11</v>
      </c>
      <c r="B35">
        <f t="shared" si="0"/>
        <v>1</v>
      </c>
      <c r="C35">
        <f t="shared" si="1"/>
        <v>0.8</v>
      </c>
    </row>
    <row r="36" spans="1:3" x14ac:dyDescent="0.25">
      <c r="A36">
        <v>12</v>
      </c>
      <c r="B36">
        <f t="shared" si="0"/>
        <v>1</v>
      </c>
      <c r="C36">
        <f t="shared" si="1"/>
        <v>0.8</v>
      </c>
    </row>
    <row r="37" spans="1:3" x14ac:dyDescent="0.25">
      <c r="A37">
        <v>13</v>
      </c>
      <c r="B37">
        <f t="shared" si="0"/>
        <v>2</v>
      </c>
      <c r="C37">
        <f t="shared" si="1"/>
        <v>0.9</v>
      </c>
    </row>
    <row r="38" spans="1:3" x14ac:dyDescent="0.25">
      <c r="A38">
        <v>14</v>
      </c>
      <c r="B38">
        <f t="shared" si="0"/>
        <v>2</v>
      </c>
      <c r="C38">
        <f t="shared" si="1"/>
        <v>0.9</v>
      </c>
    </row>
    <row r="39" spans="1:3" x14ac:dyDescent="0.25">
      <c r="A39">
        <v>15</v>
      </c>
      <c r="B39">
        <f t="shared" si="0"/>
        <v>2</v>
      </c>
      <c r="C39">
        <f t="shared" si="1"/>
        <v>0.9</v>
      </c>
    </row>
    <row r="40" spans="1:3" x14ac:dyDescent="0.25">
      <c r="A40">
        <v>16</v>
      </c>
      <c r="B40">
        <f t="shared" si="0"/>
        <v>2</v>
      </c>
      <c r="C40">
        <f t="shared" si="1"/>
        <v>0.9</v>
      </c>
    </row>
    <row r="41" spans="1:3" x14ac:dyDescent="0.25">
      <c r="A41">
        <v>17</v>
      </c>
      <c r="B41">
        <f t="shared" si="0"/>
        <v>2</v>
      </c>
      <c r="C41">
        <f t="shared" si="1"/>
        <v>0.9</v>
      </c>
    </row>
    <row r="42" spans="1:3" x14ac:dyDescent="0.25">
      <c r="A42">
        <v>18</v>
      </c>
      <c r="B42">
        <f t="shared" si="0"/>
        <v>2</v>
      </c>
      <c r="C42">
        <f t="shared" si="1"/>
        <v>0.9</v>
      </c>
    </row>
    <row r="43" spans="1:3" x14ac:dyDescent="0.25">
      <c r="A43">
        <v>19</v>
      </c>
      <c r="B43">
        <f t="shared" si="0"/>
        <v>2</v>
      </c>
      <c r="C43">
        <f t="shared" si="1"/>
        <v>0.9</v>
      </c>
    </row>
    <row r="44" spans="1:3" x14ac:dyDescent="0.25">
      <c r="A44">
        <v>20</v>
      </c>
      <c r="B44">
        <f t="shared" si="0"/>
        <v>2</v>
      </c>
      <c r="C44">
        <f t="shared" si="1"/>
        <v>0.9</v>
      </c>
    </row>
    <row r="45" spans="1:3" x14ac:dyDescent="0.25">
      <c r="A45">
        <v>21</v>
      </c>
      <c r="B45">
        <f t="shared" si="0"/>
        <v>2</v>
      </c>
      <c r="C45">
        <f t="shared" si="1"/>
        <v>0.9</v>
      </c>
    </row>
    <row r="46" spans="1:3" x14ac:dyDescent="0.25">
      <c r="A46">
        <v>22</v>
      </c>
      <c r="B46">
        <f t="shared" si="0"/>
        <v>2</v>
      </c>
      <c r="C46">
        <f t="shared" si="1"/>
        <v>0.9</v>
      </c>
    </row>
    <row r="47" spans="1:3" x14ac:dyDescent="0.25">
      <c r="A47">
        <v>23</v>
      </c>
      <c r="B47">
        <f t="shared" si="0"/>
        <v>2</v>
      </c>
      <c r="C47">
        <f t="shared" si="1"/>
        <v>0.9</v>
      </c>
    </row>
    <row r="48" spans="1:3" x14ac:dyDescent="0.25">
      <c r="A48">
        <v>24</v>
      </c>
      <c r="B48">
        <f t="shared" si="0"/>
        <v>2</v>
      </c>
      <c r="C48">
        <f t="shared" si="1"/>
        <v>0.9</v>
      </c>
    </row>
    <row r="49" spans="1:3" x14ac:dyDescent="0.25">
      <c r="A49">
        <v>25</v>
      </c>
      <c r="B49">
        <f t="shared" si="0"/>
        <v>3</v>
      </c>
      <c r="C49">
        <f t="shared" si="1"/>
        <v>1</v>
      </c>
    </row>
    <row r="50" spans="1:3" x14ac:dyDescent="0.25">
      <c r="A50">
        <v>26</v>
      </c>
      <c r="B50">
        <f t="shared" si="0"/>
        <v>3</v>
      </c>
      <c r="C50">
        <f t="shared" si="1"/>
        <v>1</v>
      </c>
    </row>
    <row r="51" spans="1:3" x14ac:dyDescent="0.25">
      <c r="A51">
        <v>27</v>
      </c>
      <c r="B51">
        <f t="shared" si="0"/>
        <v>3</v>
      </c>
      <c r="C51">
        <f t="shared" si="1"/>
        <v>1</v>
      </c>
    </row>
    <row r="52" spans="1:3" x14ac:dyDescent="0.25">
      <c r="A52">
        <v>28</v>
      </c>
      <c r="B52">
        <f t="shared" si="0"/>
        <v>3</v>
      </c>
      <c r="C52">
        <f t="shared" si="1"/>
        <v>1</v>
      </c>
    </row>
    <row r="53" spans="1:3" x14ac:dyDescent="0.25">
      <c r="A53">
        <v>29</v>
      </c>
      <c r="B53">
        <f t="shared" si="0"/>
        <v>3</v>
      </c>
      <c r="C53">
        <f t="shared" si="1"/>
        <v>1</v>
      </c>
    </row>
    <row r="54" spans="1:3" x14ac:dyDescent="0.25">
      <c r="A54">
        <v>30</v>
      </c>
      <c r="B54">
        <f t="shared" si="0"/>
        <v>3</v>
      </c>
      <c r="C54">
        <f t="shared" si="1"/>
        <v>1</v>
      </c>
    </row>
    <row r="55" spans="1:3" x14ac:dyDescent="0.25">
      <c r="A55">
        <v>31</v>
      </c>
      <c r="B55">
        <f t="shared" si="0"/>
        <v>3</v>
      </c>
      <c r="C55">
        <f t="shared" si="1"/>
        <v>1</v>
      </c>
    </row>
    <row r="56" spans="1:3" x14ac:dyDescent="0.25">
      <c r="A56">
        <v>32</v>
      </c>
      <c r="B56">
        <f t="shared" si="0"/>
        <v>3</v>
      </c>
      <c r="C56">
        <f t="shared" si="1"/>
        <v>1</v>
      </c>
    </row>
    <row r="57" spans="1:3" x14ac:dyDescent="0.25">
      <c r="A57">
        <v>33</v>
      </c>
      <c r="B57">
        <f t="shared" ref="B57:B84" si="2">ROUNDUP(A57/12,0)</f>
        <v>3</v>
      </c>
      <c r="C57">
        <f t="shared" ref="C57:C84" si="3">IF(B57=1,0.8,IF(B57=2,0.9,1))</f>
        <v>1</v>
      </c>
    </row>
    <row r="58" spans="1:3" x14ac:dyDescent="0.25">
      <c r="A58">
        <v>34</v>
      </c>
      <c r="B58">
        <f t="shared" si="2"/>
        <v>3</v>
      </c>
      <c r="C58">
        <f t="shared" si="3"/>
        <v>1</v>
      </c>
    </row>
    <row r="59" spans="1:3" x14ac:dyDescent="0.25">
      <c r="A59">
        <v>35</v>
      </c>
      <c r="B59">
        <f t="shared" si="2"/>
        <v>3</v>
      </c>
      <c r="C59">
        <f t="shared" si="3"/>
        <v>1</v>
      </c>
    </row>
    <row r="60" spans="1:3" x14ac:dyDescent="0.25">
      <c r="A60">
        <v>36</v>
      </c>
      <c r="B60">
        <f t="shared" si="2"/>
        <v>3</v>
      </c>
      <c r="C60">
        <f t="shared" si="3"/>
        <v>1</v>
      </c>
    </row>
    <row r="61" spans="1:3" x14ac:dyDescent="0.25">
      <c r="A61">
        <v>37</v>
      </c>
      <c r="B61">
        <f t="shared" si="2"/>
        <v>4</v>
      </c>
      <c r="C61">
        <f t="shared" si="3"/>
        <v>1</v>
      </c>
    </row>
    <row r="62" spans="1:3" x14ac:dyDescent="0.25">
      <c r="A62">
        <v>38</v>
      </c>
      <c r="B62">
        <f t="shared" si="2"/>
        <v>4</v>
      </c>
      <c r="C62">
        <f t="shared" si="3"/>
        <v>1</v>
      </c>
    </row>
    <row r="63" spans="1:3" x14ac:dyDescent="0.25">
      <c r="A63">
        <v>39</v>
      </c>
      <c r="B63">
        <f t="shared" si="2"/>
        <v>4</v>
      </c>
      <c r="C63">
        <f t="shared" si="3"/>
        <v>1</v>
      </c>
    </row>
    <row r="64" spans="1:3" x14ac:dyDescent="0.25">
      <c r="A64">
        <v>40</v>
      </c>
      <c r="B64">
        <f t="shared" si="2"/>
        <v>4</v>
      </c>
      <c r="C64">
        <f t="shared" si="3"/>
        <v>1</v>
      </c>
    </row>
    <row r="65" spans="1:3" x14ac:dyDescent="0.25">
      <c r="A65">
        <v>41</v>
      </c>
      <c r="B65">
        <f t="shared" si="2"/>
        <v>4</v>
      </c>
      <c r="C65">
        <f t="shared" si="3"/>
        <v>1</v>
      </c>
    </row>
    <row r="66" spans="1:3" x14ac:dyDescent="0.25">
      <c r="A66">
        <v>42</v>
      </c>
      <c r="B66">
        <f t="shared" si="2"/>
        <v>4</v>
      </c>
      <c r="C66">
        <f t="shared" si="3"/>
        <v>1</v>
      </c>
    </row>
    <row r="67" spans="1:3" x14ac:dyDescent="0.25">
      <c r="A67">
        <v>43</v>
      </c>
      <c r="B67">
        <f t="shared" si="2"/>
        <v>4</v>
      </c>
      <c r="C67">
        <f t="shared" si="3"/>
        <v>1</v>
      </c>
    </row>
    <row r="68" spans="1:3" x14ac:dyDescent="0.25">
      <c r="A68">
        <v>44</v>
      </c>
      <c r="B68">
        <f t="shared" si="2"/>
        <v>4</v>
      </c>
      <c r="C68">
        <f t="shared" si="3"/>
        <v>1</v>
      </c>
    </row>
    <row r="69" spans="1:3" x14ac:dyDescent="0.25">
      <c r="A69">
        <v>45</v>
      </c>
      <c r="B69">
        <f t="shared" si="2"/>
        <v>4</v>
      </c>
      <c r="C69">
        <f t="shared" si="3"/>
        <v>1</v>
      </c>
    </row>
    <row r="70" spans="1:3" x14ac:dyDescent="0.25">
      <c r="A70">
        <v>46</v>
      </c>
      <c r="B70">
        <f t="shared" si="2"/>
        <v>4</v>
      </c>
      <c r="C70">
        <f t="shared" si="3"/>
        <v>1</v>
      </c>
    </row>
    <row r="71" spans="1:3" x14ac:dyDescent="0.25">
      <c r="A71">
        <v>47</v>
      </c>
      <c r="B71">
        <f t="shared" si="2"/>
        <v>4</v>
      </c>
      <c r="C71">
        <f t="shared" si="3"/>
        <v>1</v>
      </c>
    </row>
    <row r="72" spans="1:3" x14ac:dyDescent="0.25">
      <c r="A72">
        <v>48</v>
      </c>
      <c r="B72">
        <f t="shared" si="2"/>
        <v>4</v>
      </c>
      <c r="C72">
        <f t="shared" si="3"/>
        <v>1</v>
      </c>
    </row>
    <row r="73" spans="1:3" x14ac:dyDescent="0.25">
      <c r="A73">
        <v>49</v>
      </c>
      <c r="B73">
        <f t="shared" si="2"/>
        <v>5</v>
      </c>
      <c r="C73">
        <f t="shared" si="3"/>
        <v>1</v>
      </c>
    </row>
    <row r="74" spans="1:3" x14ac:dyDescent="0.25">
      <c r="A74">
        <v>50</v>
      </c>
      <c r="B74">
        <f t="shared" si="2"/>
        <v>5</v>
      </c>
      <c r="C74">
        <f t="shared" si="3"/>
        <v>1</v>
      </c>
    </row>
    <row r="75" spans="1:3" x14ac:dyDescent="0.25">
      <c r="A75">
        <v>51</v>
      </c>
      <c r="B75">
        <f t="shared" si="2"/>
        <v>5</v>
      </c>
      <c r="C75">
        <f t="shared" si="3"/>
        <v>1</v>
      </c>
    </row>
    <row r="76" spans="1:3" x14ac:dyDescent="0.25">
      <c r="A76">
        <v>52</v>
      </c>
      <c r="B76">
        <f t="shared" si="2"/>
        <v>5</v>
      </c>
      <c r="C76">
        <f t="shared" si="3"/>
        <v>1</v>
      </c>
    </row>
    <row r="77" spans="1:3" x14ac:dyDescent="0.25">
      <c r="A77">
        <v>53</v>
      </c>
      <c r="B77">
        <f t="shared" si="2"/>
        <v>5</v>
      </c>
      <c r="C77">
        <f t="shared" si="3"/>
        <v>1</v>
      </c>
    </row>
    <row r="78" spans="1:3" x14ac:dyDescent="0.25">
      <c r="A78">
        <v>54</v>
      </c>
      <c r="B78">
        <f t="shared" si="2"/>
        <v>5</v>
      </c>
      <c r="C78">
        <f t="shared" si="3"/>
        <v>1</v>
      </c>
    </row>
    <row r="79" spans="1:3" x14ac:dyDescent="0.25">
      <c r="A79">
        <v>55</v>
      </c>
      <c r="B79">
        <f t="shared" si="2"/>
        <v>5</v>
      </c>
      <c r="C79">
        <f t="shared" si="3"/>
        <v>1</v>
      </c>
    </row>
    <row r="80" spans="1:3" x14ac:dyDescent="0.25">
      <c r="A80">
        <v>56</v>
      </c>
      <c r="B80">
        <f t="shared" si="2"/>
        <v>5</v>
      </c>
      <c r="C80">
        <f t="shared" si="3"/>
        <v>1</v>
      </c>
    </row>
    <row r="81" spans="1:3" x14ac:dyDescent="0.25">
      <c r="A81">
        <v>57</v>
      </c>
      <c r="B81">
        <f t="shared" si="2"/>
        <v>5</v>
      </c>
      <c r="C81">
        <f t="shared" si="3"/>
        <v>1</v>
      </c>
    </row>
    <row r="82" spans="1:3" x14ac:dyDescent="0.25">
      <c r="A82">
        <v>58</v>
      </c>
      <c r="B82">
        <f t="shared" si="2"/>
        <v>5</v>
      </c>
      <c r="C82">
        <f t="shared" si="3"/>
        <v>1</v>
      </c>
    </row>
    <row r="83" spans="1:3" x14ac:dyDescent="0.25">
      <c r="A83">
        <v>59</v>
      </c>
      <c r="B83">
        <f t="shared" si="2"/>
        <v>5</v>
      </c>
      <c r="C83">
        <f t="shared" si="3"/>
        <v>1</v>
      </c>
    </row>
    <row r="84" spans="1:3" x14ac:dyDescent="0.25">
      <c r="A84">
        <v>60</v>
      </c>
      <c r="B84">
        <f t="shared" si="2"/>
        <v>5</v>
      </c>
      <c r="C84">
        <f t="shared" si="3"/>
        <v>1</v>
      </c>
    </row>
  </sheetData>
  <pageMargins left="0.75" right="0.75" top="1" bottom="1" header="0.5" footer="0.5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17DDC2E3-4FE5-4810-A6AD-4AE15FC97B4A}">
          <x14:formula1>
            <xm:f>Себестоимость!$A$3:$A$5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I7"/>
  <sheetViews>
    <sheetView workbookViewId="0">
      <selection activeCell="B8" sqref="B8"/>
    </sheetView>
  </sheetViews>
  <sheetFormatPr defaultRowHeight="15" x14ac:dyDescent="0.25"/>
  <cols>
    <col min="1" max="1" width="42.5703125" bestFit="1" customWidth="1"/>
    <col min="2" max="2" width="10.85546875" bestFit="1" customWidth="1"/>
    <col min="3" max="3" width="9.5703125" bestFit="1" customWidth="1"/>
    <col min="4" max="4" width="13.85546875" bestFit="1" customWidth="1"/>
    <col min="5" max="7" width="22" customWidth="1"/>
  </cols>
  <sheetData>
    <row r="1" spans="1:9" x14ac:dyDescent="0.25">
      <c r="A1" t="s">
        <v>23</v>
      </c>
    </row>
    <row r="2" spans="1:9" x14ac:dyDescent="0.25">
      <c r="A2" t="s">
        <v>6</v>
      </c>
      <c r="B2" t="s">
        <v>78</v>
      </c>
      <c r="C2" t="s">
        <v>79</v>
      </c>
      <c r="D2" t="s">
        <v>24</v>
      </c>
      <c r="E2" t="s">
        <v>25</v>
      </c>
      <c r="F2" t="s">
        <v>26</v>
      </c>
      <c r="G2" t="s">
        <v>27</v>
      </c>
      <c r="H2" t="s">
        <v>28</v>
      </c>
      <c r="I2" t="s">
        <v>29</v>
      </c>
    </row>
    <row r="3" spans="1:9" x14ac:dyDescent="0.25">
      <c r="A3" t="s">
        <v>7</v>
      </c>
      <c r="B3" s="11">
        <v>300</v>
      </c>
      <c r="C3">
        <v>80</v>
      </c>
      <c r="D3">
        <f>B3/C3</f>
        <v>3.75</v>
      </c>
      <c r="E3">
        <v>1</v>
      </c>
      <c r="F3">
        <v>7.87</v>
      </c>
      <c r="G3">
        <v>5</v>
      </c>
      <c r="H3">
        <v>2.15</v>
      </c>
      <c r="I3">
        <f>D3+E3+F3+G3+H3</f>
        <v>19.77</v>
      </c>
    </row>
    <row r="4" spans="1:9" x14ac:dyDescent="0.25">
      <c r="A4" t="s">
        <v>30</v>
      </c>
      <c r="B4" s="11">
        <v>1500</v>
      </c>
      <c r="C4">
        <v>150</v>
      </c>
      <c r="D4">
        <f>B4/C4</f>
        <v>10</v>
      </c>
      <c r="E4">
        <v>1</v>
      </c>
      <c r="F4">
        <v>7.87</v>
      </c>
      <c r="G4">
        <v>5</v>
      </c>
      <c r="H4">
        <v>2.15</v>
      </c>
      <c r="I4">
        <f>D4+E4+F4+G4+H4</f>
        <v>26.02</v>
      </c>
    </row>
    <row r="5" spans="1:9" x14ac:dyDescent="0.25">
      <c r="A5" t="s">
        <v>82</v>
      </c>
      <c r="B5">
        <f>(B3+B4)/2</f>
        <v>900</v>
      </c>
      <c r="C5">
        <f>(C4+C3)/2</f>
        <v>115</v>
      </c>
      <c r="D5">
        <f>B5/C5</f>
        <v>7.8260869565217392</v>
      </c>
      <c r="E5">
        <v>1</v>
      </c>
      <c r="F5">
        <v>7.87</v>
      </c>
      <c r="G5">
        <v>5</v>
      </c>
      <c r="H5">
        <v>2.15</v>
      </c>
      <c r="I5">
        <f>D5+E5+F5+G5+H5</f>
        <v>23.846086956521738</v>
      </c>
    </row>
    <row r="7" spans="1:9" x14ac:dyDescent="0.25">
      <c r="A7" t="s">
        <v>31</v>
      </c>
      <c r="B7">
        <f>VLOOKUP(Параметры!B7,$A$3:$I$5,9,FALSE)</f>
        <v>19.77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F61"/>
  <sheetViews>
    <sheetView workbookViewId="0"/>
  </sheetViews>
  <sheetFormatPr defaultRowHeight="15" x14ac:dyDescent="0.25"/>
  <cols>
    <col min="1" max="6" width="22" customWidth="1"/>
  </cols>
  <sheetData>
    <row r="1" spans="1:6" x14ac:dyDescent="0.25">
      <c r="A1" t="s">
        <v>20</v>
      </c>
      <c r="B1" t="s">
        <v>21</v>
      </c>
      <c r="C1" t="s">
        <v>22</v>
      </c>
      <c r="D1" t="s">
        <v>32</v>
      </c>
      <c r="E1" t="s">
        <v>33</v>
      </c>
      <c r="F1" t="s">
        <v>34</v>
      </c>
    </row>
    <row r="2" spans="1:6" x14ac:dyDescent="0.25">
      <c r="A2">
        <v>1</v>
      </c>
      <c r="B2">
        <f t="shared" ref="B2:B33" si="0">ROUNDUP(A2/12,0)</f>
        <v>1</v>
      </c>
      <c r="C2">
        <f>VLOOKUP(A2,Параметры!$A$25:$C$84,3,FALSE)</f>
        <v>0.8</v>
      </c>
      <c r="D2">
        <f>Параметры!$B$3*C2</f>
        <v>160000</v>
      </c>
      <c r="E2">
        <f>Параметры!$B$4*(1+Параметры!$B$10)^(B2-1)</f>
        <v>45</v>
      </c>
      <c r="F2">
        <f>Себестоимость!$B$7*(1+Параметры!$B$11)^(B2-1)</f>
        <v>19.77</v>
      </c>
    </row>
    <row r="3" spans="1:6" x14ac:dyDescent="0.25">
      <c r="A3">
        <v>2</v>
      </c>
      <c r="B3">
        <f t="shared" si="0"/>
        <v>1</v>
      </c>
      <c r="C3">
        <f>VLOOKUP(A3,Параметры!$A$25:$C$84,3,FALSE)</f>
        <v>0.8</v>
      </c>
      <c r="D3">
        <f>Параметры!$B$3*C3</f>
        <v>160000</v>
      </c>
      <c r="E3">
        <f>Параметры!$B$4*(1+Параметры!$B$10)^(B3-1)</f>
        <v>45</v>
      </c>
      <c r="F3">
        <f>Себестоимость!$B$7*(1+Параметры!$B$11)^(B3-1)</f>
        <v>19.77</v>
      </c>
    </row>
    <row r="4" spans="1:6" x14ac:dyDescent="0.25">
      <c r="A4">
        <v>3</v>
      </c>
      <c r="B4">
        <f t="shared" si="0"/>
        <v>1</v>
      </c>
      <c r="C4">
        <f>VLOOKUP(A4,Параметры!$A$25:$C$84,3,FALSE)</f>
        <v>0.8</v>
      </c>
      <c r="D4">
        <f>Параметры!$B$3*C4</f>
        <v>160000</v>
      </c>
      <c r="E4">
        <f>Параметры!$B$4*(1+Параметры!$B$10)^(B4-1)</f>
        <v>45</v>
      </c>
      <c r="F4">
        <f>Себестоимость!$B$7*(1+Параметры!$B$11)^(B4-1)</f>
        <v>19.77</v>
      </c>
    </row>
    <row r="5" spans="1:6" x14ac:dyDescent="0.25">
      <c r="A5">
        <v>4</v>
      </c>
      <c r="B5">
        <f t="shared" si="0"/>
        <v>1</v>
      </c>
      <c r="C5">
        <f>VLOOKUP(A5,Параметры!$A$25:$C$84,3,FALSE)</f>
        <v>0.8</v>
      </c>
      <c r="D5">
        <f>Параметры!$B$3*C5</f>
        <v>160000</v>
      </c>
      <c r="E5">
        <f>Параметры!$B$4*(1+Параметры!$B$10)^(B5-1)</f>
        <v>45</v>
      </c>
      <c r="F5">
        <f>Себестоимость!$B$7*(1+Параметры!$B$11)^(B5-1)</f>
        <v>19.77</v>
      </c>
    </row>
    <row r="6" spans="1:6" x14ac:dyDescent="0.25">
      <c r="A6">
        <v>5</v>
      </c>
      <c r="B6">
        <f t="shared" si="0"/>
        <v>1</v>
      </c>
      <c r="C6">
        <f>VLOOKUP(A6,Параметры!$A$25:$C$84,3,FALSE)</f>
        <v>0.8</v>
      </c>
      <c r="D6">
        <f>Параметры!$B$3*C6</f>
        <v>160000</v>
      </c>
      <c r="E6">
        <f>Параметры!$B$4*(1+Параметры!$B$10)^(B6-1)</f>
        <v>45</v>
      </c>
      <c r="F6">
        <f>Себестоимость!$B$7*(1+Параметры!$B$11)^(B6-1)</f>
        <v>19.77</v>
      </c>
    </row>
    <row r="7" spans="1:6" x14ac:dyDescent="0.25">
      <c r="A7">
        <v>6</v>
      </c>
      <c r="B7">
        <f t="shared" si="0"/>
        <v>1</v>
      </c>
      <c r="C7">
        <f>VLOOKUP(A7,Параметры!$A$25:$C$84,3,FALSE)</f>
        <v>0.8</v>
      </c>
      <c r="D7">
        <f>Параметры!$B$3*C7</f>
        <v>160000</v>
      </c>
      <c r="E7">
        <f>Параметры!$B$4*(1+Параметры!$B$10)^(B7-1)</f>
        <v>45</v>
      </c>
      <c r="F7">
        <f>Себестоимость!$B$7*(1+Параметры!$B$11)^(B7-1)</f>
        <v>19.77</v>
      </c>
    </row>
    <row r="8" spans="1:6" x14ac:dyDescent="0.25">
      <c r="A8">
        <v>7</v>
      </c>
      <c r="B8">
        <f t="shared" si="0"/>
        <v>1</v>
      </c>
      <c r="C8">
        <f>VLOOKUP(A8,Параметры!$A$25:$C$84,3,FALSE)</f>
        <v>0.8</v>
      </c>
      <c r="D8">
        <f>Параметры!$B$3*C8</f>
        <v>160000</v>
      </c>
      <c r="E8">
        <f>Параметры!$B$4*(1+Параметры!$B$10)^(B8-1)</f>
        <v>45</v>
      </c>
      <c r="F8">
        <f>Себестоимость!$B$7*(1+Параметры!$B$11)^(B8-1)</f>
        <v>19.77</v>
      </c>
    </row>
    <row r="9" spans="1:6" x14ac:dyDescent="0.25">
      <c r="A9">
        <v>8</v>
      </c>
      <c r="B9">
        <f t="shared" si="0"/>
        <v>1</v>
      </c>
      <c r="C9">
        <f>VLOOKUP(A9,Параметры!$A$25:$C$84,3,FALSE)</f>
        <v>0.8</v>
      </c>
      <c r="D9">
        <f>Параметры!$B$3*C9</f>
        <v>160000</v>
      </c>
      <c r="E9">
        <f>Параметры!$B$4*(1+Параметры!$B$10)^(B9-1)</f>
        <v>45</v>
      </c>
      <c r="F9">
        <f>Себестоимость!$B$7*(1+Параметры!$B$11)^(B9-1)</f>
        <v>19.77</v>
      </c>
    </row>
    <row r="10" spans="1:6" x14ac:dyDescent="0.25">
      <c r="A10">
        <v>9</v>
      </c>
      <c r="B10">
        <f t="shared" si="0"/>
        <v>1</v>
      </c>
      <c r="C10">
        <f>VLOOKUP(A10,Параметры!$A$25:$C$84,3,FALSE)</f>
        <v>0.8</v>
      </c>
      <c r="D10">
        <f>Параметры!$B$3*C10</f>
        <v>160000</v>
      </c>
      <c r="E10">
        <f>Параметры!$B$4*(1+Параметры!$B$10)^(B10-1)</f>
        <v>45</v>
      </c>
      <c r="F10">
        <f>Себестоимость!$B$7*(1+Параметры!$B$11)^(B10-1)</f>
        <v>19.77</v>
      </c>
    </row>
    <row r="11" spans="1:6" x14ac:dyDescent="0.25">
      <c r="A11">
        <v>10</v>
      </c>
      <c r="B11">
        <f t="shared" si="0"/>
        <v>1</v>
      </c>
      <c r="C11">
        <f>VLOOKUP(A11,Параметры!$A$25:$C$84,3,FALSE)</f>
        <v>0.8</v>
      </c>
      <c r="D11">
        <f>Параметры!$B$3*C11</f>
        <v>160000</v>
      </c>
      <c r="E11">
        <f>Параметры!$B$4*(1+Параметры!$B$10)^(B11-1)</f>
        <v>45</v>
      </c>
      <c r="F11">
        <f>Себестоимость!$B$7*(1+Параметры!$B$11)^(B11-1)</f>
        <v>19.77</v>
      </c>
    </row>
    <row r="12" spans="1:6" x14ac:dyDescent="0.25">
      <c r="A12">
        <v>11</v>
      </c>
      <c r="B12">
        <f t="shared" si="0"/>
        <v>1</v>
      </c>
      <c r="C12">
        <f>VLOOKUP(A12,Параметры!$A$25:$C$84,3,FALSE)</f>
        <v>0.8</v>
      </c>
      <c r="D12">
        <f>Параметры!$B$3*C12</f>
        <v>160000</v>
      </c>
      <c r="E12">
        <f>Параметры!$B$4*(1+Параметры!$B$10)^(B12-1)</f>
        <v>45</v>
      </c>
      <c r="F12">
        <f>Себестоимость!$B$7*(1+Параметры!$B$11)^(B12-1)</f>
        <v>19.77</v>
      </c>
    </row>
    <row r="13" spans="1:6" x14ac:dyDescent="0.25">
      <c r="A13">
        <v>12</v>
      </c>
      <c r="B13">
        <f t="shared" si="0"/>
        <v>1</v>
      </c>
      <c r="C13">
        <f>VLOOKUP(A13,Параметры!$A$25:$C$84,3,FALSE)</f>
        <v>0.8</v>
      </c>
      <c r="D13">
        <f>Параметры!$B$3*C13</f>
        <v>160000</v>
      </c>
      <c r="E13">
        <f>Параметры!$B$4*(1+Параметры!$B$10)^(B13-1)</f>
        <v>45</v>
      </c>
      <c r="F13">
        <f>Себестоимость!$B$7*(1+Параметры!$B$11)^(B13-1)</f>
        <v>19.77</v>
      </c>
    </row>
    <row r="14" spans="1:6" x14ac:dyDescent="0.25">
      <c r="A14">
        <v>13</v>
      </c>
      <c r="B14">
        <f t="shared" si="0"/>
        <v>2</v>
      </c>
      <c r="C14">
        <f>VLOOKUP(A14,Параметры!$A$25:$C$84,3,FALSE)</f>
        <v>0.9</v>
      </c>
      <c r="D14">
        <f>Параметры!$B$3*C14</f>
        <v>180000</v>
      </c>
      <c r="E14">
        <f>Параметры!$B$4*(1+Параметры!$B$10)^(B14-1)</f>
        <v>47.25</v>
      </c>
      <c r="F14">
        <f>Себестоимость!$B$7*(1+Параметры!$B$11)^(B14-1)</f>
        <v>20.758500000000002</v>
      </c>
    </row>
    <row r="15" spans="1:6" x14ac:dyDescent="0.25">
      <c r="A15">
        <v>14</v>
      </c>
      <c r="B15">
        <f t="shared" si="0"/>
        <v>2</v>
      </c>
      <c r="C15">
        <f>VLOOKUP(A15,Параметры!$A$25:$C$84,3,FALSE)</f>
        <v>0.9</v>
      </c>
      <c r="D15">
        <f>Параметры!$B$3*C15</f>
        <v>180000</v>
      </c>
      <c r="E15">
        <f>Параметры!$B$4*(1+Параметры!$B$10)^(B15-1)</f>
        <v>47.25</v>
      </c>
      <c r="F15">
        <f>Себестоимость!$B$7*(1+Параметры!$B$11)^(B15-1)</f>
        <v>20.758500000000002</v>
      </c>
    </row>
    <row r="16" spans="1:6" x14ac:dyDescent="0.25">
      <c r="A16">
        <v>15</v>
      </c>
      <c r="B16">
        <f t="shared" si="0"/>
        <v>2</v>
      </c>
      <c r="C16">
        <f>VLOOKUP(A16,Параметры!$A$25:$C$84,3,FALSE)</f>
        <v>0.9</v>
      </c>
      <c r="D16">
        <f>Параметры!$B$3*C16</f>
        <v>180000</v>
      </c>
      <c r="E16">
        <f>Параметры!$B$4*(1+Параметры!$B$10)^(B16-1)</f>
        <v>47.25</v>
      </c>
      <c r="F16">
        <f>Себестоимость!$B$7*(1+Параметры!$B$11)^(B16-1)</f>
        <v>20.758500000000002</v>
      </c>
    </row>
    <row r="17" spans="1:6" x14ac:dyDescent="0.25">
      <c r="A17">
        <v>16</v>
      </c>
      <c r="B17">
        <f t="shared" si="0"/>
        <v>2</v>
      </c>
      <c r="C17">
        <f>VLOOKUP(A17,Параметры!$A$25:$C$84,3,FALSE)</f>
        <v>0.9</v>
      </c>
      <c r="D17">
        <f>Параметры!$B$3*C17</f>
        <v>180000</v>
      </c>
      <c r="E17">
        <f>Параметры!$B$4*(1+Параметры!$B$10)^(B17-1)</f>
        <v>47.25</v>
      </c>
      <c r="F17">
        <f>Себестоимость!$B$7*(1+Параметры!$B$11)^(B17-1)</f>
        <v>20.758500000000002</v>
      </c>
    </row>
    <row r="18" spans="1:6" x14ac:dyDescent="0.25">
      <c r="A18">
        <v>17</v>
      </c>
      <c r="B18">
        <f t="shared" si="0"/>
        <v>2</v>
      </c>
      <c r="C18">
        <f>VLOOKUP(A18,Параметры!$A$25:$C$84,3,FALSE)</f>
        <v>0.9</v>
      </c>
      <c r="D18">
        <f>Параметры!$B$3*C18</f>
        <v>180000</v>
      </c>
      <c r="E18">
        <f>Параметры!$B$4*(1+Параметры!$B$10)^(B18-1)</f>
        <v>47.25</v>
      </c>
      <c r="F18">
        <f>Себестоимость!$B$7*(1+Параметры!$B$11)^(B18-1)</f>
        <v>20.758500000000002</v>
      </c>
    </row>
    <row r="19" spans="1:6" x14ac:dyDescent="0.25">
      <c r="A19">
        <v>18</v>
      </c>
      <c r="B19">
        <f t="shared" si="0"/>
        <v>2</v>
      </c>
      <c r="C19">
        <f>VLOOKUP(A19,Параметры!$A$25:$C$84,3,FALSE)</f>
        <v>0.9</v>
      </c>
      <c r="D19">
        <f>Параметры!$B$3*C19</f>
        <v>180000</v>
      </c>
      <c r="E19">
        <f>Параметры!$B$4*(1+Параметры!$B$10)^(B19-1)</f>
        <v>47.25</v>
      </c>
      <c r="F19">
        <f>Себестоимость!$B$7*(1+Параметры!$B$11)^(B19-1)</f>
        <v>20.758500000000002</v>
      </c>
    </row>
    <row r="20" spans="1:6" x14ac:dyDescent="0.25">
      <c r="A20">
        <v>19</v>
      </c>
      <c r="B20">
        <f t="shared" si="0"/>
        <v>2</v>
      </c>
      <c r="C20">
        <f>VLOOKUP(A20,Параметры!$A$25:$C$84,3,FALSE)</f>
        <v>0.9</v>
      </c>
      <c r="D20">
        <f>Параметры!$B$3*C20</f>
        <v>180000</v>
      </c>
      <c r="E20">
        <f>Параметры!$B$4*(1+Параметры!$B$10)^(B20-1)</f>
        <v>47.25</v>
      </c>
      <c r="F20">
        <f>Себестоимость!$B$7*(1+Параметры!$B$11)^(B20-1)</f>
        <v>20.758500000000002</v>
      </c>
    </row>
    <row r="21" spans="1:6" x14ac:dyDescent="0.25">
      <c r="A21">
        <v>20</v>
      </c>
      <c r="B21">
        <f t="shared" si="0"/>
        <v>2</v>
      </c>
      <c r="C21">
        <f>VLOOKUP(A21,Параметры!$A$25:$C$84,3,FALSE)</f>
        <v>0.9</v>
      </c>
      <c r="D21">
        <f>Параметры!$B$3*C21</f>
        <v>180000</v>
      </c>
      <c r="E21">
        <f>Параметры!$B$4*(1+Параметры!$B$10)^(B21-1)</f>
        <v>47.25</v>
      </c>
      <c r="F21">
        <f>Себестоимость!$B$7*(1+Параметры!$B$11)^(B21-1)</f>
        <v>20.758500000000002</v>
      </c>
    </row>
    <row r="22" spans="1:6" x14ac:dyDescent="0.25">
      <c r="A22">
        <v>21</v>
      </c>
      <c r="B22">
        <f t="shared" si="0"/>
        <v>2</v>
      </c>
      <c r="C22">
        <f>VLOOKUP(A22,Параметры!$A$25:$C$84,3,FALSE)</f>
        <v>0.9</v>
      </c>
      <c r="D22">
        <f>Параметры!$B$3*C22</f>
        <v>180000</v>
      </c>
      <c r="E22">
        <f>Параметры!$B$4*(1+Параметры!$B$10)^(B22-1)</f>
        <v>47.25</v>
      </c>
      <c r="F22">
        <f>Себестоимость!$B$7*(1+Параметры!$B$11)^(B22-1)</f>
        <v>20.758500000000002</v>
      </c>
    </row>
    <row r="23" spans="1:6" x14ac:dyDescent="0.25">
      <c r="A23">
        <v>22</v>
      </c>
      <c r="B23">
        <f t="shared" si="0"/>
        <v>2</v>
      </c>
      <c r="C23">
        <f>VLOOKUP(A23,Параметры!$A$25:$C$84,3,FALSE)</f>
        <v>0.9</v>
      </c>
      <c r="D23">
        <f>Параметры!$B$3*C23</f>
        <v>180000</v>
      </c>
      <c r="E23">
        <f>Параметры!$B$4*(1+Параметры!$B$10)^(B23-1)</f>
        <v>47.25</v>
      </c>
      <c r="F23">
        <f>Себестоимость!$B$7*(1+Параметры!$B$11)^(B23-1)</f>
        <v>20.758500000000002</v>
      </c>
    </row>
    <row r="24" spans="1:6" x14ac:dyDescent="0.25">
      <c r="A24">
        <v>23</v>
      </c>
      <c r="B24">
        <f t="shared" si="0"/>
        <v>2</v>
      </c>
      <c r="C24">
        <f>VLOOKUP(A24,Параметры!$A$25:$C$84,3,FALSE)</f>
        <v>0.9</v>
      </c>
      <c r="D24">
        <f>Параметры!$B$3*C24</f>
        <v>180000</v>
      </c>
      <c r="E24">
        <f>Параметры!$B$4*(1+Параметры!$B$10)^(B24-1)</f>
        <v>47.25</v>
      </c>
      <c r="F24">
        <f>Себестоимость!$B$7*(1+Параметры!$B$11)^(B24-1)</f>
        <v>20.758500000000002</v>
      </c>
    </row>
    <row r="25" spans="1:6" x14ac:dyDescent="0.25">
      <c r="A25">
        <v>24</v>
      </c>
      <c r="B25">
        <f t="shared" si="0"/>
        <v>2</v>
      </c>
      <c r="C25">
        <f>VLOOKUP(A25,Параметры!$A$25:$C$84,3,FALSE)</f>
        <v>0.9</v>
      </c>
      <c r="D25">
        <f>Параметры!$B$3*C25</f>
        <v>180000</v>
      </c>
      <c r="E25">
        <f>Параметры!$B$4*(1+Параметры!$B$10)^(B25-1)</f>
        <v>47.25</v>
      </c>
      <c r="F25">
        <f>Себестоимость!$B$7*(1+Параметры!$B$11)^(B25-1)</f>
        <v>20.758500000000002</v>
      </c>
    </row>
    <row r="26" spans="1:6" x14ac:dyDescent="0.25">
      <c r="A26">
        <v>25</v>
      </c>
      <c r="B26">
        <f t="shared" si="0"/>
        <v>3</v>
      </c>
      <c r="C26">
        <f>VLOOKUP(A26,Параметры!$A$25:$C$84,3,FALSE)</f>
        <v>1</v>
      </c>
      <c r="D26">
        <f>Параметры!$B$3*C26</f>
        <v>200000</v>
      </c>
      <c r="E26">
        <f>Параметры!$B$4*(1+Параметры!$B$10)^(B26-1)</f>
        <v>49.612500000000004</v>
      </c>
      <c r="F26">
        <f>Себестоимость!$B$7*(1+Параметры!$B$11)^(B26-1)</f>
        <v>21.796424999999999</v>
      </c>
    </row>
    <row r="27" spans="1:6" x14ac:dyDescent="0.25">
      <c r="A27">
        <v>26</v>
      </c>
      <c r="B27">
        <f t="shared" si="0"/>
        <v>3</v>
      </c>
      <c r="C27">
        <f>VLOOKUP(A27,Параметры!$A$25:$C$84,3,FALSE)</f>
        <v>1</v>
      </c>
      <c r="D27">
        <f>Параметры!$B$3*C27</f>
        <v>200000</v>
      </c>
      <c r="E27">
        <f>Параметры!$B$4*(1+Параметры!$B$10)^(B27-1)</f>
        <v>49.612500000000004</v>
      </c>
      <c r="F27">
        <f>Себестоимость!$B$7*(1+Параметры!$B$11)^(B27-1)</f>
        <v>21.796424999999999</v>
      </c>
    </row>
    <row r="28" spans="1:6" x14ac:dyDescent="0.25">
      <c r="A28">
        <v>27</v>
      </c>
      <c r="B28">
        <f t="shared" si="0"/>
        <v>3</v>
      </c>
      <c r="C28">
        <f>VLOOKUP(A28,Параметры!$A$25:$C$84,3,FALSE)</f>
        <v>1</v>
      </c>
      <c r="D28">
        <f>Параметры!$B$3*C28</f>
        <v>200000</v>
      </c>
      <c r="E28">
        <f>Параметры!$B$4*(1+Параметры!$B$10)^(B28-1)</f>
        <v>49.612500000000004</v>
      </c>
      <c r="F28">
        <f>Себестоимость!$B$7*(1+Параметры!$B$11)^(B28-1)</f>
        <v>21.796424999999999</v>
      </c>
    </row>
    <row r="29" spans="1:6" x14ac:dyDescent="0.25">
      <c r="A29">
        <v>28</v>
      </c>
      <c r="B29">
        <f t="shared" si="0"/>
        <v>3</v>
      </c>
      <c r="C29">
        <f>VLOOKUP(A29,Параметры!$A$25:$C$84,3,FALSE)</f>
        <v>1</v>
      </c>
      <c r="D29">
        <f>Параметры!$B$3*C29</f>
        <v>200000</v>
      </c>
      <c r="E29">
        <f>Параметры!$B$4*(1+Параметры!$B$10)^(B29-1)</f>
        <v>49.612500000000004</v>
      </c>
      <c r="F29">
        <f>Себестоимость!$B$7*(1+Параметры!$B$11)^(B29-1)</f>
        <v>21.796424999999999</v>
      </c>
    </row>
    <row r="30" spans="1:6" x14ac:dyDescent="0.25">
      <c r="A30">
        <v>29</v>
      </c>
      <c r="B30">
        <f t="shared" si="0"/>
        <v>3</v>
      </c>
      <c r="C30">
        <f>VLOOKUP(A30,Параметры!$A$25:$C$84,3,FALSE)</f>
        <v>1</v>
      </c>
      <c r="D30">
        <f>Параметры!$B$3*C30</f>
        <v>200000</v>
      </c>
      <c r="E30">
        <f>Параметры!$B$4*(1+Параметры!$B$10)^(B30-1)</f>
        <v>49.612500000000004</v>
      </c>
      <c r="F30">
        <f>Себестоимость!$B$7*(1+Параметры!$B$11)^(B30-1)</f>
        <v>21.796424999999999</v>
      </c>
    </row>
    <row r="31" spans="1:6" x14ac:dyDescent="0.25">
      <c r="A31">
        <v>30</v>
      </c>
      <c r="B31">
        <f t="shared" si="0"/>
        <v>3</v>
      </c>
      <c r="C31">
        <f>VLOOKUP(A31,Параметры!$A$25:$C$84,3,FALSE)</f>
        <v>1</v>
      </c>
      <c r="D31">
        <f>Параметры!$B$3*C31</f>
        <v>200000</v>
      </c>
      <c r="E31">
        <f>Параметры!$B$4*(1+Параметры!$B$10)^(B31-1)</f>
        <v>49.612500000000004</v>
      </c>
      <c r="F31">
        <f>Себестоимость!$B$7*(1+Параметры!$B$11)^(B31-1)</f>
        <v>21.796424999999999</v>
      </c>
    </row>
    <row r="32" spans="1:6" x14ac:dyDescent="0.25">
      <c r="A32">
        <v>31</v>
      </c>
      <c r="B32">
        <f t="shared" si="0"/>
        <v>3</v>
      </c>
      <c r="C32">
        <f>VLOOKUP(A32,Параметры!$A$25:$C$84,3,FALSE)</f>
        <v>1</v>
      </c>
      <c r="D32">
        <f>Параметры!$B$3*C32</f>
        <v>200000</v>
      </c>
      <c r="E32">
        <f>Параметры!$B$4*(1+Параметры!$B$10)^(B32-1)</f>
        <v>49.612500000000004</v>
      </c>
      <c r="F32">
        <f>Себестоимость!$B$7*(1+Параметры!$B$11)^(B32-1)</f>
        <v>21.796424999999999</v>
      </c>
    </row>
    <row r="33" spans="1:6" x14ac:dyDescent="0.25">
      <c r="A33">
        <v>32</v>
      </c>
      <c r="B33">
        <f t="shared" si="0"/>
        <v>3</v>
      </c>
      <c r="C33">
        <f>VLOOKUP(A33,Параметры!$A$25:$C$84,3,FALSE)</f>
        <v>1</v>
      </c>
      <c r="D33">
        <f>Параметры!$B$3*C33</f>
        <v>200000</v>
      </c>
      <c r="E33">
        <f>Параметры!$B$4*(1+Параметры!$B$10)^(B33-1)</f>
        <v>49.612500000000004</v>
      </c>
      <c r="F33">
        <f>Себестоимость!$B$7*(1+Параметры!$B$11)^(B33-1)</f>
        <v>21.796424999999999</v>
      </c>
    </row>
    <row r="34" spans="1:6" x14ac:dyDescent="0.25">
      <c r="A34">
        <v>33</v>
      </c>
      <c r="B34">
        <f t="shared" ref="B34:B61" si="1">ROUNDUP(A34/12,0)</f>
        <v>3</v>
      </c>
      <c r="C34">
        <f>VLOOKUP(A34,Параметры!$A$25:$C$84,3,FALSE)</f>
        <v>1</v>
      </c>
      <c r="D34">
        <f>Параметры!$B$3*C34</f>
        <v>200000</v>
      </c>
      <c r="E34">
        <f>Параметры!$B$4*(1+Параметры!$B$10)^(B34-1)</f>
        <v>49.612500000000004</v>
      </c>
      <c r="F34">
        <f>Себестоимость!$B$7*(1+Параметры!$B$11)^(B34-1)</f>
        <v>21.796424999999999</v>
      </c>
    </row>
    <row r="35" spans="1:6" x14ac:dyDescent="0.25">
      <c r="A35">
        <v>34</v>
      </c>
      <c r="B35">
        <f t="shared" si="1"/>
        <v>3</v>
      </c>
      <c r="C35">
        <f>VLOOKUP(A35,Параметры!$A$25:$C$84,3,FALSE)</f>
        <v>1</v>
      </c>
      <c r="D35">
        <f>Параметры!$B$3*C35</f>
        <v>200000</v>
      </c>
      <c r="E35">
        <f>Параметры!$B$4*(1+Параметры!$B$10)^(B35-1)</f>
        <v>49.612500000000004</v>
      </c>
      <c r="F35">
        <f>Себестоимость!$B$7*(1+Параметры!$B$11)^(B35-1)</f>
        <v>21.796424999999999</v>
      </c>
    </row>
    <row r="36" spans="1:6" x14ac:dyDescent="0.25">
      <c r="A36">
        <v>35</v>
      </c>
      <c r="B36">
        <f t="shared" si="1"/>
        <v>3</v>
      </c>
      <c r="C36">
        <f>VLOOKUP(A36,Параметры!$A$25:$C$84,3,FALSE)</f>
        <v>1</v>
      </c>
      <c r="D36">
        <f>Параметры!$B$3*C36</f>
        <v>200000</v>
      </c>
      <c r="E36">
        <f>Параметры!$B$4*(1+Параметры!$B$10)^(B36-1)</f>
        <v>49.612500000000004</v>
      </c>
      <c r="F36">
        <f>Себестоимость!$B$7*(1+Параметры!$B$11)^(B36-1)</f>
        <v>21.796424999999999</v>
      </c>
    </row>
    <row r="37" spans="1:6" x14ac:dyDescent="0.25">
      <c r="A37">
        <v>36</v>
      </c>
      <c r="B37">
        <f t="shared" si="1"/>
        <v>3</v>
      </c>
      <c r="C37">
        <f>VLOOKUP(A37,Параметры!$A$25:$C$84,3,FALSE)</f>
        <v>1</v>
      </c>
      <c r="D37">
        <f>Параметры!$B$3*C37</f>
        <v>200000</v>
      </c>
      <c r="E37">
        <f>Параметры!$B$4*(1+Параметры!$B$10)^(B37-1)</f>
        <v>49.612500000000004</v>
      </c>
      <c r="F37">
        <f>Себестоимость!$B$7*(1+Параметры!$B$11)^(B37-1)</f>
        <v>21.796424999999999</v>
      </c>
    </row>
    <row r="38" spans="1:6" x14ac:dyDescent="0.25">
      <c r="A38">
        <v>37</v>
      </c>
      <c r="B38">
        <f t="shared" si="1"/>
        <v>4</v>
      </c>
      <c r="C38">
        <f>VLOOKUP(A38,Параметры!$A$25:$C$84,3,FALSE)</f>
        <v>1</v>
      </c>
      <c r="D38">
        <f>Параметры!$B$3*C38</f>
        <v>200000</v>
      </c>
      <c r="E38">
        <f>Параметры!$B$4*(1+Параметры!$B$10)^(B38-1)</f>
        <v>52.093125000000008</v>
      </c>
      <c r="F38">
        <f>Себестоимость!$B$7*(1+Параметры!$B$11)^(B38-1)</f>
        <v>22.886246250000003</v>
      </c>
    </row>
    <row r="39" spans="1:6" x14ac:dyDescent="0.25">
      <c r="A39">
        <v>38</v>
      </c>
      <c r="B39">
        <f t="shared" si="1"/>
        <v>4</v>
      </c>
      <c r="C39">
        <f>VLOOKUP(A39,Параметры!$A$25:$C$84,3,FALSE)</f>
        <v>1</v>
      </c>
      <c r="D39">
        <f>Параметры!$B$3*C39</f>
        <v>200000</v>
      </c>
      <c r="E39">
        <f>Параметры!$B$4*(1+Параметры!$B$10)^(B39-1)</f>
        <v>52.093125000000008</v>
      </c>
      <c r="F39">
        <f>Себестоимость!$B$7*(1+Параметры!$B$11)^(B39-1)</f>
        <v>22.886246250000003</v>
      </c>
    </row>
    <row r="40" spans="1:6" x14ac:dyDescent="0.25">
      <c r="A40">
        <v>39</v>
      </c>
      <c r="B40">
        <f t="shared" si="1"/>
        <v>4</v>
      </c>
      <c r="C40">
        <f>VLOOKUP(A40,Параметры!$A$25:$C$84,3,FALSE)</f>
        <v>1</v>
      </c>
      <c r="D40">
        <f>Параметры!$B$3*C40</f>
        <v>200000</v>
      </c>
      <c r="E40">
        <f>Параметры!$B$4*(1+Параметры!$B$10)^(B40-1)</f>
        <v>52.093125000000008</v>
      </c>
      <c r="F40">
        <f>Себестоимость!$B$7*(1+Параметры!$B$11)^(B40-1)</f>
        <v>22.886246250000003</v>
      </c>
    </row>
    <row r="41" spans="1:6" x14ac:dyDescent="0.25">
      <c r="A41">
        <v>40</v>
      </c>
      <c r="B41">
        <f t="shared" si="1"/>
        <v>4</v>
      </c>
      <c r="C41">
        <f>VLOOKUP(A41,Параметры!$A$25:$C$84,3,FALSE)</f>
        <v>1</v>
      </c>
      <c r="D41">
        <f>Параметры!$B$3*C41</f>
        <v>200000</v>
      </c>
      <c r="E41">
        <f>Параметры!$B$4*(1+Параметры!$B$10)^(B41-1)</f>
        <v>52.093125000000008</v>
      </c>
      <c r="F41">
        <f>Себестоимость!$B$7*(1+Параметры!$B$11)^(B41-1)</f>
        <v>22.886246250000003</v>
      </c>
    </row>
    <row r="42" spans="1:6" x14ac:dyDescent="0.25">
      <c r="A42">
        <v>41</v>
      </c>
      <c r="B42">
        <f t="shared" si="1"/>
        <v>4</v>
      </c>
      <c r="C42">
        <f>VLOOKUP(A42,Параметры!$A$25:$C$84,3,FALSE)</f>
        <v>1</v>
      </c>
      <c r="D42">
        <f>Параметры!$B$3*C42</f>
        <v>200000</v>
      </c>
      <c r="E42">
        <f>Параметры!$B$4*(1+Параметры!$B$10)^(B42-1)</f>
        <v>52.093125000000008</v>
      </c>
      <c r="F42">
        <f>Себестоимость!$B$7*(1+Параметры!$B$11)^(B42-1)</f>
        <v>22.886246250000003</v>
      </c>
    </row>
    <row r="43" spans="1:6" x14ac:dyDescent="0.25">
      <c r="A43">
        <v>42</v>
      </c>
      <c r="B43">
        <f t="shared" si="1"/>
        <v>4</v>
      </c>
      <c r="C43">
        <f>VLOOKUP(A43,Параметры!$A$25:$C$84,3,FALSE)</f>
        <v>1</v>
      </c>
      <c r="D43">
        <f>Параметры!$B$3*C43</f>
        <v>200000</v>
      </c>
      <c r="E43">
        <f>Параметры!$B$4*(1+Параметры!$B$10)^(B43-1)</f>
        <v>52.093125000000008</v>
      </c>
      <c r="F43">
        <f>Себестоимость!$B$7*(1+Параметры!$B$11)^(B43-1)</f>
        <v>22.886246250000003</v>
      </c>
    </row>
    <row r="44" spans="1:6" x14ac:dyDescent="0.25">
      <c r="A44">
        <v>43</v>
      </c>
      <c r="B44">
        <f t="shared" si="1"/>
        <v>4</v>
      </c>
      <c r="C44">
        <f>VLOOKUP(A44,Параметры!$A$25:$C$84,3,FALSE)</f>
        <v>1</v>
      </c>
      <c r="D44">
        <f>Параметры!$B$3*C44</f>
        <v>200000</v>
      </c>
      <c r="E44">
        <f>Параметры!$B$4*(1+Параметры!$B$10)^(B44-1)</f>
        <v>52.093125000000008</v>
      </c>
      <c r="F44">
        <f>Себестоимость!$B$7*(1+Параметры!$B$11)^(B44-1)</f>
        <v>22.886246250000003</v>
      </c>
    </row>
    <row r="45" spans="1:6" x14ac:dyDescent="0.25">
      <c r="A45">
        <v>44</v>
      </c>
      <c r="B45">
        <f t="shared" si="1"/>
        <v>4</v>
      </c>
      <c r="C45">
        <f>VLOOKUP(A45,Параметры!$A$25:$C$84,3,FALSE)</f>
        <v>1</v>
      </c>
      <c r="D45">
        <f>Параметры!$B$3*C45</f>
        <v>200000</v>
      </c>
      <c r="E45">
        <f>Параметры!$B$4*(1+Параметры!$B$10)^(B45-1)</f>
        <v>52.093125000000008</v>
      </c>
      <c r="F45">
        <f>Себестоимость!$B$7*(1+Параметры!$B$11)^(B45-1)</f>
        <v>22.886246250000003</v>
      </c>
    </row>
    <row r="46" spans="1:6" x14ac:dyDescent="0.25">
      <c r="A46">
        <v>45</v>
      </c>
      <c r="B46">
        <f t="shared" si="1"/>
        <v>4</v>
      </c>
      <c r="C46">
        <f>VLOOKUP(A46,Параметры!$A$25:$C$84,3,FALSE)</f>
        <v>1</v>
      </c>
      <c r="D46">
        <f>Параметры!$B$3*C46</f>
        <v>200000</v>
      </c>
      <c r="E46">
        <f>Параметры!$B$4*(1+Параметры!$B$10)^(B46-1)</f>
        <v>52.093125000000008</v>
      </c>
      <c r="F46">
        <f>Себестоимость!$B$7*(1+Параметры!$B$11)^(B46-1)</f>
        <v>22.886246250000003</v>
      </c>
    </row>
    <row r="47" spans="1:6" x14ac:dyDescent="0.25">
      <c r="A47">
        <v>46</v>
      </c>
      <c r="B47">
        <f t="shared" si="1"/>
        <v>4</v>
      </c>
      <c r="C47">
        <f>VLOOKUP(A47,Параметры!$A$25:$C$84,3,FALSE)</f>
        <v>1</v>
      </c>
      <c r="D47">
        <f>Параметры!$B$3*C47</f>
        <v>200000</v>
      </c>
      <c r="E47">
        <f>Параметры!$B$4*(1+Параметры!$B$10)^(B47-1)</f>
        <v>52.093125000000008</v>
      </c>
      <c r="F47">
        <f>Себестоимость!$B$7*(1+Параметры!$B$11)^(B47-1)</f>
        <v>22.886246250000003</v>
      </c>
    </row>
    <row r="48" spans="1:6" x14ac:dyDescent="0.25">
      <c r="A48">
        <v>47</v>
      </c>
      <c r="B48">
        <f t="shared" si="1"/>
        <v>4</v>
      </c>
      <c r="C48">
        <f>VLOOKUP(A48,Параметры!$A$25:$C$84,3,FALSE)</f>
        <v>1</v>
      </c>
      <c r="D48">
        <f>Параметры!$B$3*C48</f>
        <v>200000</v>
      </c>
      <c r="E48">
        <f>Параметры!$B$4*(1+Параметры!$B$10)^(B48-1)</f>
        <v>52.093125000000008</v>
      </c>
      <c r="F48">
        <f>Себестоимость!$B$7*(1+Параметры!$B$11)^(B48-1)</f>
        <v>22.886246250000003</v>
      </c>
    </row>
    <row r="49" spans="1:6" x14ac:dyDescent="0.25">
      <c r="A49">
        <v>48</v>
      </c>
      <c r="B49">
        <f t="shared" si="1"/>
        <v>4</v>
      </c>
      <c r="C49">
        <f>VLOOKUP(A49,Параметры!$A$25:$C$84,3,FALSE)</f>
        <v>1</v>
      </c>
      <c r="D49">
        <f>Параметры!$B$3*C49</f>
        <v>200000</v>
      </c>
      <c r="E49">
        <f>Параметры!$B$4*(1+Параметры!$B$10)^(B49-1)</f>
        <v>52.093125000000008</v>
      </c>
      <c r="F49">
        <f>Себестоимость!$B$7*(1+Параметры!$B$11)^(B49-1)</f>
        <v>22.886246250000003</v>
      </c>
    </row>
    <row r="50" spans="1:6" x14ac:dyDescent="0.25">
      <c r="A50">
        <v>49</v>
      </c>
      <c r="B50">
        <f t="shared" si="1"/>
        <v>5</v>
      </c>
      <c r="C50">
        <f>VLOOKUP(A50,Параметры!$A$25:$C$84,3,FALSE)</f>
        <v>1</v>
      </c>
      <c r="D50">
        <f>Параметры!$B$3*C50</f>
        <v>200000</v>
      </c>
      <c r="E50">
        <f>Параметры!$B$4*(1+Параметры!$B$10)^(B50-1)</f>
        <v>54.697781249999998</v>
      </c>
      <c r="F50">
        <f>Себестоимость!$B$7*(1+Параметры!$B$11)^(B50-1)</f>
        <v>24.030558562500001</v>
      </c>
    </row>
    <row r="51" spans="1:6" x14ac:dyDescent="0.25">
      <c r="A51">
        <v>50</v>
      </c>
      <c r="B51">
        <f t="shared" si="1"/>
        <v>5</v>
      </c>
      <c r="C51">
        <f>VLOOKUP(A51,Параметры!$A$25:$C$84,3,FALSE)</f>
        <v>1</v>
      </c>
      <c r="D51">
        <f>Параметры!$B$3*C51</f>
        <v>200000</v>
      </c>
      <c r="E51">
        <f>Параметры!$B$4*(1+Параметры!$B$10)^(B51-1)</f>
        <v>54.697781249999998</v>
      </c>
      <c r="F51">
        <f>Себестоимость!$B$7*(1+Параметры!$B$11)^(B51-1)</f>
        <v>24.030558562500001</v>
      </c>
    </row>
    <row r="52" spans="1:6" x14ac:dyDescent="0.25">
      <c r="A52">
        <v>51</v>
      </c>
      <c r="B52">
        <f t="shared" si="1"/>
        <v>5</v>
      </c>
      <c r="C52">
        <f>VLOOKUP(A52,Параметры!$A$25:$C$84,3,FALSE)</f>
        <v>1</v>
      </c>
      <c r="D52">
        <f>Параметры!$B$3*C52</f>
        <v>200000</v>
      </c>
      <c r="E52">
        <f>Параметры!$B$4*(1+Параметры!$B$10)^(B52-1)</f>
        <v>54.697781249999998</v>
      </c>
      <c r="F52">
        <f>Себестоимость!$B$7*(1+Параметры!$B$11)^(B52-1)</f>
        <v>24.030558562500001</v>
      </c>
    </row>
    <row r="53" spans="1:6" x14ac:dyDescent="0.25">
      <c r="A53">
        <v>52</v>
      </c>
      <c r="B53">
        <f t="shared" si="1"/>
        <v>5</v>
      </c>
      <c r="C53">
        <f>VLOOKUP(A53,Параметры!$A$25:$C$84,3,FALSE)</f>
        <v>1</v>
      </c>
      <c r="D53">
        <f>Параметры!$B$3*C53</f>
        <v>200000</v>
      </c>
      <c r="E53">
        <f>Параметры!$B$4*(1+Параметры!$B$10)^(B53-1)</f>
        <v>54.697781249999998</v>
      </c>
      <c r="F53">
        <f>Себестоимость!$B$7*(1+Параметры!$B$11)^(B53-1)</f>
        <v>24.030558562500001</v>
      </c>
    </row>
    <row r="54" spans="1:6" x14ac:dyDescent="0.25">
      <c r="A54">
        <v>53</v>
      </c>
      <c r="B54">
        <f t="shared" si="1"/>
        <v>5</v>
      </c>
      <c r="C54">
        <f>VLOOKUP(A54,Параметры!$A$25:$C$84,3,FALSE)</f>
        <v>1</v>
      </c>
      <c r="D54">
        <f>Параметры!$B$3*C54</f>
        <v>200000</v>
      </c>
      <c r="E54">
        <f>Параметры!$B$4*(1+Параметры!$B$10)^(B54-1)</f>
        <v>54.697781249999998</v>
      </c>
      <c r="F54">
        <f>Себестоимость!$B$7*(1+Параметры!$B$11)^(B54-1)</f>
        <v>24.030558562500001</v>
      </c>
    </row>
    <row r="55" spans="1:6" x14ac:dyDescent="0.25">
      <c r="A55">
        <v>54</v>
      </c>
      <c r="B55">
        <f t="shared" si="1"/>
        <v>5</v>
      </c>
      <c r="C55">
        <f>VLOOKUP(A55,Параметры!$A$25:$C$84,3,FALSE)</f>
        <v>1</v>
      </c>
      <c r="D55">
        <f>Параметры!$B$3*C55</f>
        <v>200000</v>
      </c>
      <c r="E55">
        <f>Параметры!$B$4*(1+Параметры!$B$10)^(B55-1)</f>
        <v>54.697781249999998</v>
      </c>
      <c r="F55">
        <f>Себестоимость!$B$7*(1+Параметры!$B$11)^(B55-1)</f>
        <v>24.030558562500001</v>
      </c>
    </row>
    <row r="56" spans="1:6" x14ac:dyDescent="0.25">
      <c r="A56">
        <v>55</v>
      </c>
      <c r="B56">
        <f t="shared" si="1"/>
        <v>5</v>
      </c>
      <c r="C56">
        <f>VLOOKUP(A56,Параметры!$A$25:$C$84,3,FALSE)</f>
        <v>1</v>
      </c>
      <c r="D56">
        <f>Параметры!$B$3*C56</f>
        <v>200000</v>
      </c>
      <c r="E56">
        <f>Параметры!$B$4*(1+Параметры!$B$10)^(B56-1)</f>
        <v>54.697781249999998</v>
      </c>
      <c r="F56">
        <f>Себестоимость!$B$7*(1+Параметры!$B$11)^(B56-1)</f>
        <v>24.030558562500001</v>
      </c>
    </row>
    <row r="57" spans="1:6" x14ac:dyDescent="0.25">
      <c r="A57">
        <v>56</v>
      </c>
      <c r="B57">
        <f t="shared" si="1"/>
        <v>5</v>
      </c>
      <c r="C57">
        <f>VLOOKUP(A57,Параметры!$A$25:$C$84,3,FALSE)</f>
        <v>1</v>
      </c>
      <c r="D57">
        <f>Параметры!$B$3*C57</f>
        <v>200000</v>
      </c>
      <c r="E57">
        <f>Параметры!$B$4*(1+Параметры!$B$10)^(B57-1)</f>
        <v>54.697781249999998</v>
      </c>
      <c r="F57">
        <f>Себестоимость!$B$7*(1+Параметры!$B$11)^(B57-1)</f>
        <v>24.030558562500001</v>
      </c>
    </row>
    <row r="58" spans="1:6" x14ac:dyDescent="0.25">
      <c r="A58">
        <v>57</v>
      </c>
      <c r="B58">
        <f t="shared" si="1"/>
        <v>5</v>
      </c>
      <c r="C58">
        <f>VLOOKUP(A58,Параметры!$A$25:$C$84,3,FALSE)</f>
        <v>1</v>
      </c>
      <c r="D58">
        <f>Параметры!$B$3*C58</f>
        <v>200000</v>
      </c>
      <c r="E58">
        <f>Параметры!$B$4*(1+Параметры!$B$10)^(B58-1)</f>
        <v>54.697781249999998</v>
      </c>
      <c r="F58">
        <f>Себестоимость!$B$7*(1+Параметры!$B$11)^(B58-1)</f>
        <v>24.030558562500001</v>
      </c>
    </row>
    <row r="59" spans="1:6" x14ac:dyDescent="0.25">
      <c r="A59">
        <v>58</v>
      </c>
      <c r="B59">
        <f t="shared" si="1"/>
        <v>5</v>
      </c>
      <c r="C59">
        <f>VLOOKUP(A59,Параметры!$A$25:$C$84,3,FALSE)</f>
        <v>1</v>
      </c>
      <c r="D59">
        <f>Параметры!$B$3*C59</f>
        <v>200000</v>
      </c>
      <c r="E59">
        <f>Параметры!$B$4*(1+Параметры!$B$10)^(B59-1)</f>
        <v>54.697781249999998</v>
      </c>
      <c r="F59">
        <f>Себестоимость!$B$7*(1+Параметры!$B$11)^(B59-1)</f>
        <v>24.030558562500001</v>
      </c>
    </row>
    <row r="60" spans="1:6" x14ac:dyDescent="0.25">
      <c r="A60">
        <v>59</v>
      </c>
      <c r="B60">
        <f t="shared" si="1"/>
        <v>5</v>
      </c>
      <c r="C60">
        <f>VLOOKUP(A60,Параметры!$A$25:$C$84,3,FALSE)</f>
        <v>1</v>
      </c>
      <c r="D60">
        <f>Параметры!$B$3*C60</f>
        <v>200000</v>
      </c>
      <c r="E60">
        <f>Параметры!$B$4*(1+Параметры!$B$10)^(B60-1)</f>
        <v>54.697781249999998</v>
      </c>
      <c r="F60">
        <f>Себестоимость!$B$7*(1+Параметры!$B$11)^(B60-1)</f>
        <v>24.030558562500001</v>
      </c>
    </row>
    <row r="61" spans="1:6" x14ac:dyDescent="0.25">
      <c r="A61">
        <v>60</v>
      </c>
      <c r="B61">
        <f t="shared" si="1"/>
        <v>5</v>
      </c>
      <c r="C61">
        <f>VLOOKUP(A61,Параметры!$A$25:$C$84,3,FALSE)</f>
        <v>1</v>
      </c>
      <c r="D61">
        <f>Параметры!$B$3*C61</f>
        <v>200000</v>
      </c>
      <c r="E61">
        <f>Параметры!$B$4*(1+Параметры!$B$10)^(B61-1)</f>
        <v>54.697781249999998</v>
      </c>
      <c r="F61">
        <f>Себестоимость!$B$7*(1+Параметры!$B$11)^(B61-1)</f>
        <v>24.030558562500001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61"/>
  <sheetViews>
    <sheetView workbookViewId="0">
      <selection activeCell="J33" sqref="J33"/>
    </sheetView>
  </sheetViews>
  <sheetFormatPr defaultRowHeight="15" x14ac:dyDescent="0.25"/>
  <cols>
    <col min="1" max="1" width="6.85546875" bestFit="1" customWidth="1"/>
    <col min="2" max="2" width="4.140625" bestFit="1" customWidth="1"/>
    <col min="3" max="3" width="11.42578125" style="2" bestFit="1" customWidth="1"/>
    <col min="4" max="4" width="8.28515625" style="2" customWidth="1"/>
    <col min="5" max="5" width="11.28515625" style="2" bestFit="1" customWidth="1"/>
    <col min="6" max="6" width="7.7109375" style="1" customWidth="1"/>
    <col min="7" max="7" width="17.5703125" style="2" bestFit="1" customWidth="1"/>
    <col min="8" max="8" width="20.28515625" style="2" bestFit="1" customWidth="1"/>
    <col min="9" max="9" width="13.85546875" style="2" bestFit="1" customWidth="1"/>
    <col min="10" max="10" width="23.42578125" style="2" bestFit="1" customWidth="1"/>
  </cols>
  <sheetData>
    <row r="1" spans="1:10" x14ac:dyDescent="0.25">
      <c r="A1" t="s">
        <v>20</v>
      </c>
      <c r="B1" t="s">
        <v>21</v>
      </c>
      <c r="C1" s="2" t="s">
        <v>32</v>
      </c>
      <c r="D1" s="2" t="s">
        <v>33</v>
      </c>
      <c r="E1" s="2" t="s">
        <v>35</v>
      </c>
      <c r="F1" s="1" t="s">
        <v>34</v>
      </c>
      <c r="G1" s="2" t="s">
        <v>36</v>
      </c>
      <c r="H1" s="2" t="s">
        <v>37</v>
      </c>
      <c r="I1" s="2" t="s">
        <v>38</v>
      </c>
      <c r="J1" s="2" t="s">
        <v>39</v>
      </c>
    </row>
    <row r="2" spans="1:10" x14ac:dyDescent="0.25">
      <c r="A2">
        <f>План_мес!A2</f>
        <v>1</v>
      </c>
      <c r="B2">
        <f>План_мес!B2</f>
        <v>1</v>
      </c>
      <c r="C2" s="2">
        <f>План_мес!D2</f>
        <v>160000</v>
      </c>
      <c r="D2" s="2">
        <f>План_мес!E2</f>
        <v>45</v>
      </c>
      <c r="E2" s="2">
        <f t="shared" ref="E2:E33" si="0">C2*D2</f>
        <v>7200000</v>
      </c>
      <c r="F2" s="1">
        <f>План_мес!F2</f>
        <v>19.77</v>
      </c>
      <c r="G2" s="2">
        <f t="shared" ref="G2:G33" si="1">C2*F2</f>
        <v>3163200</v>
      </c>
      <c r="H2" s="2">
        <f t="shared" ref="H2:H33" si="2">E2-G2</f>
        <v>4036800</v>
      </c>
      <c r="I2" s="2">
        <f>H2*Параметры!$B$6</f>
        <v>80736</v>
      </c>
      <c r="J2" s="2">
        <f t="shared" ref="J2:J33" si="3">H2-I2</f>
        <v>3956064</v>
      </c>
    </row>
    <row r="3" spans="1:10" x14ac:dyDescent="0.25">
      <c r="A3">
        <f>План_мес!A3</f>
        <v>2</v>
      </c>
      <c r="B3">
        <f>План_мес!B3</f>
        <v>1</v>
      </c>
      <c r="C3" s="2">
        <f>План_мес!D3</f>
        <v>160000</v>
      </c>
      <c r="D3" s="2">
        <f>План_мес!E3</f>
        <v>45</v>
      </c>
      <c r="E3" s="2">
        <f t="shared" si="0"/>
        <v>7200000</v>
      </c>
      <c r="F3" s="1">
        <f>План_мес!F3</f>
        <v>19.77</v>
      </c>
      <c r="G3" s="2">
        <f t="shared" si="1"/>
        <v>3163200</v>
      </c>
      <c r="H3" s="2">
        <f t="shared" si="2"/>
        <v>4036800</v>
      </c>
      <c r="I3" s="2">
        <f>H3*Параметры!$B$6</f>
        <v>80736</v>
      </c>
      <c r="J3" s="2">
        <f t="shared" si="3"/>
        <v>3956064</v>
      </c>
    </row>
    <row r="4" spans="1:10" x14ac:dyDescent="0.25">
      <c r="A4">
        <f>План_мес!A4</f>
        <v>3</v>
      </c>
      <c r="B4">
        <f>План_мес!B4</f>
        <v>1</v>
      </c>
      <c r="C4" s="2">
        <f>План_мес!D4</f>
        <v>160000</v>
      </c>
      <c r="D4" s="2">
        <f>План_мес!E4</f>
        <v>45</v>
      </c>
      <c r="E4" s="2">
        <f t="shared" si="0"/>
        <v>7200000</v>
      </c>
      <c r="F4" s="1">
        <f>План_мес!F4</f>
        <v>19.77</v>
      </c>
      <c r="G4" s="2">
        <f t="shared" si="1"/>
        <v>3163200</v>
      </c>
      <c r="H4" s="2">
        <f t="shared" si="2"/>
        <v>4036800</v>
      </c>
      <c r="I4" s="2">
        <f>H4*Параметры!$B$6</f>
        <v>80736</v>
      </c>
      <c r="J4" s="2">
        <f t="shared" si="3"/>
        <v>3956064</v>
      </c>
    </row>
    <row r="5" spans="1:10" x14ac:dyDescent="0.25">
      <c r="A5">
        <f>План_мес!A5</f>
        <v>4</v>
      </c>
      <c r="B5">
        <f>План_мес!B5</f>
        <v>1</v>
      </c>
      <c r="C5" s="2">
        <f>План_мес!D5</f>
        <v>160000</v>
      </c>
      <c r="D5" s="2">
        <f>План_мес!E5</f>
        <v>45</v>
      </c>
      <c r="E5" s="2">
        <f t="shared" si="0"/>
        <v>7200000</v>
      </c>
      <c r="F5" s="1">
        <f>План_мес!F5</f>
        <v>19.77</v>
      </c>
      <c r="G5" s="2">
        <f t="shared" si="1"/>
        <v>3163200</v>
      </c>
      <c r="H5" s="2">
        <f t="shared" si="2"/>
        <v>4036800</v>
      </c>
      <c r="I5" s="2">
        <f>H5*Параметры!$B$6</f>
        <v>80736</v>
      </c>
      <c r="J5" s="2">
        <f t="shared" si="3"/>
        <v>3956064</v>
      </c>
    </row>
    <row r="6" spans="1:10" x14ac:dyDescent="0.25">
      <c r="A6">
        <f>План_мес!A6</f>
        <v>5</v>
      </c>
      <c r="B6">
        <f>План_мес!B6</f>
        <v>1</v>
      </c>
      <c r="C6" s="2">
        <f>План_мес!D6</f>
        <v>160000</v>
      </c>
      <c r="D6" s="2">
        <f>План_мес!E6</f>
        <v>45</v>
      </c>
      <c r="E6" s="2">
        <f t="shared" si="0"/>
        <v>7200000</v>
      </c>
      <c r="F6" s="1">
        <f>План_мес!F6</f>
        <v>19.77</v>
      </c>
      <c r="G6" s="2">
        <f t="shared" si="1"/>
        <v>3163200</v>
      </c>
      <c r="H6" s="2">
        <f t="shared" si="2"/>
        <v>4036800</v>
      </c>
      <c r="I6" s="2">
        <f>H6*Параметры!$B$6</f>
        <v>80736</v>
      </c>
      <c r="J6" s="2">
        <f t="shared" si="3"/>
        <v>3956064</v>
      </c>
    </row>
    <row r="7" spans="1:10" x14ac:dyDescent="0.25">
      <c r="A7">
        <f>План_мес!A7</f>
        <v>6</v>
      </c>
      <c r="B7">
        <f>План_мес!B7</f>
        <v>1</v>
      </c>
      <c r="C7" s="2">
        <f>План_мес!D7</f>
        <v>160000</v>
      </c>
      <c r="D7" s="2">
        <f>План_мес!E7</f>
        <v>45</v>
      </c>
      <c r="E7" s="2">
        <f t="shared" si="0"/>
        <v>7200000</v>
      </c>
      <c r="F7" s="1">
        <f>План_мес!F7</f>
        <v>19.77</v>
      </c>
      <c r="G7" s="2">
        <f t="shared" si="1"/>
        <v>3163200</v>
      </c>
      <c r="H7" s="2">
        <f t="shared" si="2"/>
        <v>4036800</v>
      </c>
      <c r="I7" s="2">
        <f>H7*Параметры!$B$6</f>
        <v>80736</v>
      </c>
      <c r="J7" s="2">
        <f t="shared" si="3"/>
        <v>3956064</v>
      </c>
    </row>
    <row r="8" spans="1:10" x14ac:dyDescent="0.25">
      <c r="A8">
        <f>План_мес!A8</f>
        <v>7</v>
      </c>
      <c r="B8">
        <f>План_мес!B8</f>
        <v>1</v>
      </c>
      <c r="C8" s="2">
        <f>План_мес!D8</f>
        <v>160000</v>
      </c>
      <c r="D8" s="2">
        <f>План_мес!E8</f>
        <v>45</v>
      </c>
      <c r="E8" s="2">
        <f t="shared" si="0"/>
        <v>7200000</v>
      </c>
      <c r="F8" s="1">
        <f>План_мес!F8</f>
        <v>19.77</v>
      </c>
      <c r="G8" s="2">
        <f t="shared" si="1"/>
        <v>3163200</v>
      </c>
      <c r="H8" s="2">
        <f t="shared" si="2"/>
        <v>4036800</v>
      </c>
      <c r="I8" s="2">
        <f>H8*Параметры!$B$6</f>
        <v>80736</v>
      </c>
      <c r="J8" s="2">
        <f t="shared" si="3"/>
        <v>3956064</v>
      </c>
    </row>
    <row r="9" spans="1:10" x14ac:dyDescent="0.25">
      <c r="A9">
        <f>План_мес!A9</f>
        <v>8</v>
      </c>
      <c r="B9">
        <f>План_мес!B9</f>
        <v>1</v>
      </c>
      <c r="C9" s="2">
        <f>План_мес!D9</f>
        <v>160000</v>
      </c>
      <c r="D9" s="2">
        <f>План_мес!E9</f>
        <v>45</v>
      </c>
      <c r="E9" s="2">
        <f t="shared" si="0"/>
        <v>7200000</v>
      </c>
      <c r="F9" s="1">
        <f>План_мес!F9</f>
        <v>19.77</v>
      </c>
      <c r="G9" s="2">
        <f t="shared" si="1"/>
        <v>3163200</v>
      </c>
      <c r="H9" s="2">
        <f t="shared" si="2"/>
        <v>4036800</v>
      </c>
      <c r="I9" s="2">
        <f>H9*Параметры!$B$6</f>
        <v>80736</v>
      </c>
      <c r="J9" s="2">
        <f t="shared" si="3"/>
        <v>3956064</v>
      </c>
    </row>
    <row r="10" spans="1:10" x14ac:dyDescent="0.25">
      <c r="A10">
        <f>План_мес!A10</f>
        <v>9</v>
      </c>
      <c r="B10">
        <f>План_мес!B10</f>
        <v>1</v>
      </c>
      <c r="C10" s="2">
        <f>План_мес!D10</f>
        <v>160000</v>
      </c>
      <c r="D10" s="2">
        <f>План_мес!E10</f>
        <v>45</v>
      </c>
      <c r="E10" s="2">
        <f t="shared" si="0"/>
        <v>7200000</v>
      </c>
      <c r="F10" s="1">
        <f>План_мес!F10</f>
        <v>19.77</v>
      </c>
      <c r="G10" s="2">
        <f t="shared" si="1"/>
        <v>3163200</v>
      </c>
      <c r="H10" s="2">
        <f t="shared" si="2"/>
        <v>4036800</v>
      </c>
      <c r="I10" s="2">
        <f>H10*Параметры!$B$6</f>
        <v>80736</v>
      </c>
      <c r="J10" s="2">
        <f t="shared" si="3"/>
        <v>3956064</v>
      </c>
    </row>
    <row r="11" spans="1:10" x14ac:dyDescent="0.25">
      <c r="A11">
        <f>План_мес!A11</f>
        <v>10</v>
      </c>
      <c r="B11">
        <f>План_мес!B11</f>
        <v>1</v>
      </c>
      <c r="C11" s="2">
        <f>План_мес!D11</f>
        <v>160000</v>
      </c>
      <c r="D11" s="2">
        <f>План_мес!E11</f>
        <v>45</v>
      </c>
      <c r="E11" s="2">
        <f t="shared" si="0"/>
        <v>7200000</v>
      </c>
      <c r="F11" s="1">
        <f>План_мес!F11</f>
        <v>19.77</v>
      </c>
      <c r="G11" s="2">
        <f t="shared" si="1"/>
        <v>3163200</v>
      </c>
      <c r="H11" s="2">
        <f t="shared" si="2"/>
        <v>4036800</v>
      </c>
      <c r="I11" s="2">
        <f>H11*Параметры!$B$6</f>
        <v>80736</v>
      </c>
      <c r="J11" s="2">
        <f t="shared" si="3"/>
        <v>3956064</v>
      </c>
    </row>
    <row r="12" spans="1:10" x14ac:dyDescent="0.25">
      <c r="A12">
        <f>План_мес!A12</f>
        <v>11</v>
      </c>
      <c r="B12">
        <f>План_мес!B12</f>
        <v>1</v>
      </c>
      <c r="C12" s="2">
        <f>План_мес!D12</f>
        <v>160000</v>
      </c>
      <c r="D12" s="2">
        <f>План_мес!E12</f>
        <v>45</v>
      </c>
      <c r="E12" s="2">
        <f t="shared" si="0"/>
        <v>7200000</v>
      </c>
      <c r="F12" s="1">
        <f>План_мес!F12</f>
        <v>19.77</v>
      </c>
      <c r="G12" s="2">
        <f t="shared" si="1"/>
        <v>3163200</v>
      </c>
      <c r="H12" s="2">
        <f t="shared" si="2"/>
        <v>4036800</v>
      </c>
      <c r="I12" s="2">
        <f>H12*Параметры!$B$6</f>
        <v>80736</v>
      </c>
      <c r="J12" s="2">
        <f t="shared" si="3"/>
        <v>3956064</v>
      </c>
    </row>
    <row r="13" spans="1:10" x14ac:dyDescent="0.25">
      <c r="A13">
        <f>План_мес!A13</f>
        <v>12</v>
      </c>
      <c r="B13">
        <f>План_мес!B13</f>
        <v>1</v>
      </c>
      <c r="C13" s="2">
        <f>План_мес!D13</f>
        <v>160000</v>
      </c>
      <c r="D13" s="2">
        <f>План_мес!E13</f>
        <v>45</v>
      </c>
      <c r="E13" s="2">
        <f t="shared" si="0"/>
        <v>7200000</v>
      </c>
      <c r="F13" s="1">
        <f>План_мес!F13</f>
        <v>19.77</v>
      </c>
      <c r="G13" s="2">
        <f t="shared" si="1"/>
        <v>3163200</v>
      </c>
      <c r="H13" s="2">
        <f t="shared" si="2"/>
        <v>4036800</v>
      </c>
      <c r="I13" s="2">
        <f>H13*Параметры!$B$6</f>
        <v>80736</v>
      </c>
      <c r="J13" s="2">
        <f t="shared" si="3"/>
        <v>3956064</v>
      </c>
    </row>
    <row r="14" spans="1:10" x14ac:dyDescent="0.25">
      <c r="A14">
        <f>План_мес!A14</f>
        <v>13</v>
      </c>
      <c r="B14">
        <f>План_мес!B14</f>
        <v>2</v>
      </c>
      <c r="C14" s="2">
        <f>План_мес!D14</f>
        <v>180000</v>
      </c>
      <c r="D14" s="2">
        <f>План_мес!E14</f>
        <v>47.25</v>
      </c>
      <c r="E14" s="2">
        <f t="shared" si="0"/>
        <v>8505000</v>
      </c>
      <c r="F14" s="1">
        <f>План_мес!F14</f>
        <v>20.758500000000002</v>
      </c>
      <c r="G14" s="2">
        <f t="shared" si="1"/>
        <v>3736530.0000000005</v>
      </c>
      <c r="H14" s="2">
        <f t="shared" si="2"/>
        <v>4768470</v>
      </c>
      <c r="I14" s="2">
        <f>H14*Параметры!$B$6</f>
        <v>95369.400000000009</v>
      </c>
      <c r="J14" s="2">
        <f t="shared" si="3"/>
        <v>4673100.5999999996</v>
      </c>
    </row>
    <row r="15" spans="1:10" x14ac:dyDescent="0.25">
      <c r="A15">
        <f>План_мес!A15</f>
        <v>14</v>
      </c>
      <c r="B15">
        <f>План_мес!B15</f>
        <v>2</v>
      </c>
      <c r="C15" s="2">
        <f>План_мес!D15</f>
        <v>180000</v>
      </c>
      <c r="D15" s="2">
        <f>План_мес!E15</f>
        <v>47.25</v>
      </c>
      <c r="E15" s="2">
        <f t="shared" si="0"/>
        <v>8505000</v>
      </c>
      <c r="F15" s="1">
        <f>План_мес!F15</f>
        <v>20.758500000000002</v>
      </c>
      <c r="G15" s="2">
        <f t="shared" si="1"/>
        <v>3736530.0000000005</v>
      </c>
      <c r="H15" s="2">
        <f t="shared" si="2"/>
        <v>4768470</v>
      </c>
      <c r="I15" s="2">
        <f>H15*Параметры!$B$6</f>
        <v>95369.400000000009</v>
      </c>
      <c r="J15" s="2">
        <f t="shared" si="3"/>
        <v>4673100.5999999996</v>
      </c>
    </row>
    <row r="16" spans="1:10" x14ac:dyDescent="0.25">
      <c r="A16">
        <f>План_мес!A16</f>
        <v>15</v>
      </c>
      <c r="B16">
        <f>План_мес!B16</f>
        <v>2</v>
      </c>
      <c r="C16" s="2">
        <f>План_мес!D16</f>
        <v>180000</v>
      </c>
      <c r="D16" s="2">
        <f>План_мес!E16</f>
        <v>47.25</v>
      </c>
      <c r="E16" s="2">
        <f t="shared" si="0"/>
        <v>8505000</v>
      </c>
      <c r="F16" s="1">
        <f>План_мес!F16</f>
        <v>20.758500000000002</v>
      </c>
      <c r="G16" s="2">
        <f t="shared" si="1"/>
        <v>3736530.0000000005</v>
      </c>
      <c r="H16" s="2">
        <f t="shared" si="2"/>
        <v>4768470</v>
      </c>
      <c r="I16" s="2">
        <f>H16*Параметры!$B$6</f>
        <v>95369.400000000009</v>
      </c>
      <c r="J16" s="2">
        <f t="shared" si="3"/>
        <v>4673100.5999999996</v>
      </c>
    </row>
    <row r="17" spans="1:10" x14ac:dyDescent="0.25">
      <c r="A17">
        <f>План_мес!A17</f>
        <v>16</v>
      </c>
      <c r="B17">
        <f>План_мес!B17</f>
        <v>2</v>
      </c>
      <c r="C17" s="2">
        <f>План_мес!D17</f>
        <v>180000</v>
      </c>
      <c r="D17" s="2">
        <f>План_мес!E17</f>
        <v>47.25</v>
      </c>
      <c r="E17" s="2">
        <f t="shared" si="0"/>
        <v>8505000</v>
      </c>
      <c r="F17" s="1">
        <f>План_мес!F17</f>
        <v>20.758500000000002</v>
      </c>
      <c r="G17" s="2">
        <f t="shared" si="1"/>
        <v>3736530.0000000005</v>
      </c>
      <c r="H17" s="2">
        <f t="shared" si="2"/>
        <v>4768470</v>
      </c>
      <c r="I17" s="2">
        <f>H17*Параметры!$B$6</f>
        <v>95369.400000000009</v>
      </c>
      <c r="J17" s="2">
        <f t="shared" si="3"/>
        <v>4673100.5999999996</v>
      </c>
    </row>
    <row r="18" spans="1:10" x14ac:dyDescent="0.25">
      <c r="A18">
        <f>План_мес!A18</f>
        <v>17</v>
      </c>
      <c r="B18">
        <f>План_мес!B18</f>
        <v>2</v>
      </c>
      <c r="C18" s="2">
        <f>План_мес!D18</f>
        <v>180000</v>
      </c>
      <c r="D18" s="2">
        <f>План_мес!E18</f>
        <v>47.25</v>
      </c>
      <c r="E18" s="2">
        <f t="shared" si="0"/>
        <v>8505000</v>
      </c>
      <c r="F18" s="1">
        <f>План_мес!F18</f>
        <v>20.758500000000002</v>
      </c>
      <c r="G18" s="2">
        <f t="shared" si="1"/>
        <v>3736530.0000000005</v>
      </c>
      <c r="H18" s="2">
        <f t="shared" si="2"/>
        <v>4768470</v>
      </c>
      <c r="I18" s="2">
        <f>H18*Параметры!$B$6</f>
        <v>95369.400000000009</v>
      </c>
      <c r="J18" s="2">
        <f t="shared" si="3"/>
        <v>4673100.5999999996</v>
      </c>
    </row>
    <row r="19" spans="1:10" x14ac:dyDescent="0.25">
      <c r="A19">
        <f>План_мес!A19</f>
        <v>18</v>
      </c>
      <c r="B19">
        <f>План_мес!B19</f>
        <v>2</v>
      </c>
      <c r="C19" s="2">
        <f>План_мес!D19</f>
        <v>180000</v>
      </c>
      <c r="D19" s="2">
        <f>План_мес!E19</f>
        <v>47.25</v>
      </c>
      <c r="E19" s="2">
        <f t="shared" si="0"/>
        <v>8505000</v>
      </c>
      <c r="F19" s="1">
        <f>План_мес!F19</f>
        <v>20.758500000000002</v>
      </c>
      <c r="G19" s="2">
        <f t="shared" si="1"/>
        <v>3736530.0000000005</v>
      </c>
      <c r="H19" s="2">
        <f t="shared" si="2"/>
        <v>4768470</v>
      </c>
      <c r="I19" s="2">
        <f>H19*Параметры!$B$6</f>
        <v>95369.400000000009</v>
      </c>
      <c r="J19" s="2">
        <f t="shared" si="3"/>
        <v>4673100.5999999996</v>
      </c>
    </row>
    <row r="20" spans="1:10" x14ac:dyDescent="0.25">
      <c r="A20">
        <f>План_мес!A20</f>
        <v>19</v>
      </c>
      <c r="B20">
        <f>План_мес!B20</f>
        <v>2</v>
      </c>
      <c r="C20" s="2">
        <f>План_мес!D20</f>
        <v>180000</v>
      </c>
      <c r="D20" s="2">
        <f>План_мес!E20</f>
        <v>47.25</v>
      </c>
      <c r="E20" s="2">
        <f t="shared" si="0"/>
        <v>8505000</v>
      </c>
      <c r="F20" s="1">
        <f>План_мес!F20</f>
        <v>20.758500000000002</v>
      </c>
      <c r="G20" s="2">
        <f t="shared" si="1"/>
        <v>3736530.0000000005</v>
      </c>
      <c r="H20" s="2">
        <f t="shared" si="2"/>
        <v>4768470</v>
      </c>
      <c r="I20" s="2">
        <f>H20*Параметры!$B$6</f>
        <v>95369.400000000009</v>
      </c>
      <c r="J20" s="2">
        <f t="shared" si="3"/>
        <v>4673100.5999999996</v>
      </c>
    </row>
    <row r="21" spans="1:10" x14ac:dyDescent="0.25">
      <c r="A21">
        <f>План_мес!A21</f>
        <v>20</v>
      </c>
      <c r="B21">
        <f>План_мес!B21</f>
        <v>2</v>
      </c>
      <c r="C21" s="2">
        <f>План_мес!D21</f>
        <v>180000</v>
      </c>
      <c r="D21" s="2">
        <f>План_мес!E21</f>
        <v>47.25</v>
      </c>
      <c r="E21" s="2">
        <f t="shared" si="0"/>
        <v>8505000</v>
      </c>
      <c r="F21" s="1">
        <f>План_мес!F21</f>
        <v>20.758500000000002</v>
      </c>
      <c r="G21" s="2">
        <f t="shared" si="1"/>
        <v>3736530.0000000005</v>
      </c>
      <c r="H21" s="2">
        <f t="shared" si="2"/>
        <v>4768470</v>
      </c>
      <c r="I21" s="2">
        <f>H21*Параметры!$B$6</f>
        <v>95369.400000000009</v>
      </c>
      <c r="J21" s="2">
        <f t="shared" si="3"/>
        <v>4673100.5999999996</v>
      </c>
    </row>
    <row r="22" spans="1:10" x14ac:dyDescent="0.25">
      <c r="A22">
        <f>План_мес!A22</f>
        <v>21</v>
      </c>
      <c r="B22">
        <f>План_мес!B22</f>
        <v>2</v>
      </c>
      <c r="C22" s="2">
        <f>План_мес!D22</f>
        <v>180000</v>
      </c>
      <c r="D22" s="2">
        <f>План_мес!E22</f>
        <v>47.25</v>
      </c>
      <c r="E22" s="2">
        <f t="shared" si="0"/>
        <v>8505000</v>
      </c>
      <c r="F22" s="1">
        <f>План_мес!F22</f>
        <v>20.758500000000002</v>
      </c>
      <c r="G22" s="2">
        <f t="shared" si="1"/>
        <v>3736530.0000000005</v>
      </c>
      <c r="H22" s="2">
        <f t="shared" si="2"/>
        <v>4768470</v>
      </c>
      <c r="I22" s="2">
        <f>H22*Параметры!$B$6</f>
        <v>95369.400000000009</v>
      </c>
      <c r="J22" s="2">
        <f t="shared" si="3"/>
        <v>4673100.5999999996</v>
      </c>
    </row>
    <row r="23" spans="1:10" x14ac:dyDescent="0.25">
      <c r="A23">
        <f>План_мес!A23</f>
        <v>22</v>
      </c>
      <c r="B23">
        <f>План_мес!B23</f>
        <v>2</v>
      </c>
      <c r="C23" s="2">
        <f>План_мес!D23</f>
        <v>180000</v>
      </c>
      <c r="D23" s="2">
        <f>План_мес!E23</f>
        <v>47.25</v>
      </c>
      <c r="E23" s="2">
        <f t="shared" si="0"/>
        <v>8505000</v>
      </c>
      <c r="F23" s="1">
        <f>План_мес!F23</f>
        <v>20.758500000000002</v>
      </c>
      <c r="G23" s="2">
        <f t="shared" si="1"/>
        <v>3736530.0000000005</v>
      </c>
      <c r="H23" s="2">
        <f t="shared" si="2"/>
        <v>4768470</v>
      </c>
      <c r="I23" s="2">
        <f>H23*Параметры!$B$6</f>
        <v>95369.400000000009</v>
      </c>
      <c r="J23" s="2">
        <f t="shared" si="3"/>
        <v>4673100.5999999996</v>
      </c>
    </row>
    <row r="24" spans="1:10" x14ac:dyDescent="0.25">
      <c r="A24">
        <f>План_мес!A24</f>
        <v>23</v>
      </c>
      <c r="B24">
        <f>План_мес!B24</f>
        <v>2</v>
      </c>
      <c r="C24" s="2">
        <f>План_мес!D24</f>
        <v>180000</v>
      </c>
      <c r="D24" s="2">
        <f>План_мес!E24</f>
        <v>47.25</v>
      </c>
      <c r="E24" s="2">
        <f t="shared" si="0"/>
        <v>8505000</v>
      </c>
      <c r="F24" s="1">
        <f>План_мес!F24</f>
        <v>20.758500000000002</v>
      </c>
      <c r="G24" s="2">
        <f t="shared" si="1"/>
        <v>3736530.0000000005</v>
      </c>
      <c r="H24" s="2">
        <f t="shared" si="2"/>
        <v>4768470</v>
      </c>
      <c r="I24" s="2">
        <f>H24*Параметры!$B$6</f>
        <v>95369.400000000009</v>
      </c>
      <c r="J24" s="2">
        <f t="shared" si="3"/>
        <v>4673100.5999999996</v>
      </c>
    </row>
    <row r="25" spans="1:10" x14ac:dyDescent="0.25">
      <c r="A25">
        <f>План_мес!A25</f>
        <v>24</v>
      </c>
      <c r="B25">
        <f>План_мес!B25</f>
        <v>2</v>
      </c>
      <c r="C25" s="2">
        <f>План_мес!D25</f>
        <v>180000</v>
      </c>
      <c r="D25" s="2">
        <f>План_мес!E25</f>
        <v>47.25</v>
      </c>
      <c r="E25" s="2">
        <f t="shared" si="0"/>
        <v>8505000</v>
      </c>
      <c r="F25" s="1">
        <f>План_мес!F25</f>
        <v>20.758500000000002</v>
      </c>
      <c r="G25" s="2">
        <f t="shared" si="1"/>
        <v>3736530.0000000005</v>
      </c>
      <c r="H25" s="2">
        <f t="shared" si="2"/>
        <v>4768470</v>
      </c>
      <c r="I25" s="2">
        <f>H25*Параметры!$B$6</f>
        <v>95369.400000000009</v>
      </c>
      <c r="J25" s="2">
        <f t="shared" si="3"/>
        <v>4673100.5999999996</v>
      </c>
    </row>
    <row r="26" spans="1:10" x14ac:dyDescent="0.25">
      <c r="A26">
        <f>План_мес!A26</f>
        <v>25</v>
      </c>
      <c r="B26">
        <f>План_мес!B26</f>
        <v>3</v>
      </c>
      <c r="C26" s="2">
        <f>План_мес!D26</f>
        <v>200000</v>
      </c>
      <c r="D26" s="2">
        <f>План_мес!E26</f>
        <v>49.612500000000004</v>
      </c>
      <c r="E26" s="2">
        <f t="shared" si="0"/>
        <v>9922500</v>
      </c>
      <c r="F26" s="1">
        <f>План_мес!F26</f>
        <v>21.796424999999999</v>
      </c>
      <c r="G26" s="2">
        <f t="shared" si="1"/>
        <v>4359285</v>
      </c>
      <c r="H26" s="2">
        <f t="shared" si="2"/>
        <v>5563215</v>
      </c>
      <c r="I26" s="2">
        <f>H26*Параметры!$B$6</f>
        <v>111264.3</v>
      </c>
      <c r="J26" s="2">
        <f t="shared" si="3"/>
        <v>5451950.7000000002</v>
      </c>
    </row>
    <row r="27" spans="1:10" x14ac:dyDescent="0.25">
      <c r="A27">
        <f>План_мес!A27</f>
        <v>26</v>
      </c>
      <c r="B27">
        <f>План_мес!B27</f>
        <v>3</v>
      </c>
      <c r="C27" s="2">
        <f>План_мес!D27</f>
        <v>200000</v>
      </c>
      <c r="D27" s="2">
        <f>План_мес!E27</f>
        <v>49.612500000000004</v>
      </c>
      <c r="E27" s="2">
        <f t="shared" si="0"/>
        <v>9922500</v>
      </c>
      <c r="F27" s="1">
        <f>План_мес!F27</f>
        <v>21.796424999999999</v>
      </c>
      <c r="G27" s="2">
        <f t="shared" si="1"/>
        <v>4359285</v>
      </c>
      <c r="H27" s="2">
        <f t="shared" si="2"/>
        <v>5563215</v>
      </c>
      <c r="I27" s="2">
        <f>H27*Параметры!$B$6</f>
        <v>111264.3</v>
      </c>
      <c r="J27" s="2">
        <f t="shared" si="3"/>
        <v>5451950.7000000002</v>
      </c>
    </row>
    <row r="28" spans="1:10" x14ac:dyDescent="0.25">
      <c r="A28">
        <f>План_мес!A28</f>
        <v>27</v>
      </c>
      <c r="B28">
        <f>План_мес!B28</f>
        <v>3</v>
      </c>
      <c r="C28" s="2">
        <f>План_мес!D28</f>
        <v>200000</v>
      </c>
      <c r="D28" s="2">
        <f>План_мес!E28</f>
        <v>49.612500000000004</v>
      </c>
      <c r="E28" s="2">
        <f t="shared" si="0"/>
        <v>9922500</v>
      </c>
      <c r="F28" s="1">
        <f>План_мес!F28</f>
        <v>21.796424999999999</v>
      </c>
      <c r="G28" s="2">
        <f t="shared" si="1"/>
        <v>4359285</v>
      </c>
      <c r="H28" s="2">
        <f t="shared" si="2"/>
        <v>5563215</v>
      </c>
      <c r="I28" s="2">
        <f>H28*Параметры!$B$6</f>
        <v>111264.3</v>
      </c>
      <c r="J28" s="2">
        <f t="shared" si="3"/>
        <v>5451950.7000000002</v>
      </c>
    </row>
    <row r="29" spans="1:10" x14ac:dyDescent="0.25">
      <c r="A29">
        <f>План_мес!A29</f>
        <v>28</v>
      </c>
      <c r="B29">
        <f>План_мес!B29</f>
        <v>3</v>
      </c>
      <c r="C29" s="2">
        <f>План_мес!D29</f>
        <v>200000</v>
      </c>
      <c r="D29" s="2">
        <f>План_мес!E29</f>
        <v>49.612500000000004</v>
      </c>
      <c r="E29" s="2">
        <f t="shared" si="0"/>
        <v>9922500</v>
      </c>
      <c r="F29" s="1">
        <f>План_мес!F29</f>
        <v>21.796424999999999</v>
      </c>
      <c r="G29" s="2">
        <f t="shared" si="1"/>
        <v>4359285</v>
      </c>
      <c r="H29" s="2">
        <f t="shared" si="2"/>
        <v>5563215</v>
      </c>
      <c r="I29" s="2">
        <f>H29*Параметры!$B$6</f>
        <v>111264.3</v>
      </c>
      <c r="J29" s="2">
        <f t="shared" si="3"/>
        <v>5451950.7000000002</v>
      </c>
    </row>
    <row r="30" spans="1:10" x14ac:dyDescent="0.25">
      <c r="A30">
        <f>План_мес!A30</f>
        <v>29</v>
      </c>
      <c r="B30">
        <f>План_мес!B30</f>
        <v>3</v>
      </c>
      <c r="C30" s="2">
        <f>План_мес!D30</f>
        <v>200000</v>
      </c>
      <c r="D30" s="2">
        <f>План_мес!E30</f>
        <v>49.612500000000004</v>
      </c>
      <c r="E30" s="2">
        <f t="shared" si="0"/>
        <v>9922500</v>
      </c>
      <c r="F30" s="1">
        <f>План_мес!F30</f>
        <v>21.796424999999999</v>
      </c>
      <c r="G30" s="2">
        <f t="shared" si="1"/>
        <v>4359285</v>
      </c>
      <c r="H30" s="2">
        <f t="shared" si="2"/>
        <v>5563215</v>
      </c>
      <c r="I30" s="2">
        <f>H30*Параметры!$B$6</f>
        <v>111264.3</v>
      </c>
      <c r="J30" s="2">
        <f t="shared" si="3"/>
        <v>5451950.7000000002</v>
      </c>
    </row>
    <row r="31" spans="1:10" x14ac:dyDescent="0.25">
      <c r="A31">
        <f>План_мес!A31</f>
        <v>30</v>
      </c>
      <c r="B31">
        <f>План_мес!B31</f>
        <v>3</v>
      </c>
      <c r="C31" s="2">
        <f>План_мес!D31</f>
        <v>200000</v>
      </c>
      <c r="D31" s="2">
        <f>План_мес!E31</f>
        <v>49.612500000000004</v>
      </c>
      <c r="E31" s="2">
        <f t="shared" si="0"/>
        <v>9922500</v>
      </c>
      <c r="F31" s="1">
        <f>План_мес!F31</f>
        <v>21.796424999999999</v>
      </c>
      <c r="G31" s="2">
        <f t="shared" si="1"/>
        <v>4359285</v>
      </c>
      <c r="H31" s="2">
        <f t="shared" si="2"/>
        <v>5563215</v>
      </c>
      <c r="I31" s="2">
        <f>H31*Параметры!$B$6</f>
        <v>111264.3</v>
      </c>
      <c r="J31" s="2">
        <f t="shared" si="3"/>
        <v>5451950.7000000002</v>
      </c>
    </row>
    <row r="32" spans="1:10" x14ac:dyDescent="0.25">
      <c r="A32">
        <f>План_мес!A32</f>
        <v>31</v>
      </c>
      <c r="B32">
        <f>План_мес!B32</f>
        <v>3</v>
      </c>
      <c r="C32" s="2">
        <f>План_мес!D32</f>
        <v>200000</v>
      </c>
      <c r="D32" s="2">
        <f>План_мес!E32</f>
        <v>49.612500000000004</v>
      </c>
      <c r="E32" s="2">
        <f t="shared" si="0"/>
        <v>9922500</v>
      </c>
      <c r="F32" s="1">
        <f>План_мес!F32</f>
        <v>21.796424999999999</v>
      </c>
      <c r="G32" s="2">
        <f t="shared" si="1"/>
        <v>4359285</v>
      </c>
      <c r="H32" s="2">
        <f t="shared" si="2"/>
        <v>5563215</v>
      </c>
      <c r="I32" s="2">
        <f>H32*Параметры!$B$6</f>
        <v>111264.3</v>
      </c>
      <c r="J32" s="2">
        <f t="shared" si="3"/>
        <v>5451950.7000000002</v>
      </c>
    </row>
    <row r="33" spans="1:10" x14ac:dyDescent="0.25">
      <c r="A33">
        <f>План_мес!A33</f>
        <v>32</v>
      </c>
      <c r="B33">
        <f>План_мес!B33</f>
        <v>3</v>
      </c>
      <c r="C33" s="2">
        <f>План_мес!D33</f>
        <v>200000</v>
      </c>
      <c r="D33" s="2">
        <f>План_мес!E33</f>
        <v>49.612500000000004</v>
      </c>
      <c r="E33" s="2">
        <f t="shared" si="0"/>
        <v>9922500</v>
      </c>
      <c r="F33" s="1">
        <f>План_мес!F33</f>
        <v>21.796424999999999</v>
      </c>
      <c r="G33" s="2">
        <f t="shared" si="1"/>
        <v>4359285</v>
      </c>
      <c r="H33" s="2">
        <f t="shared" si="2"/>
        <v>5563215</v>
      </c>
      <c r="I33" s="2">
        <f>H33*Параметры!$B$6</f>
        <v>111264.3</v>
      </c>
      <c r="J33" s="2">
        <f t="shared" si="3"/>
        <v>5451950.7000000002</v>
      </c>
    </row>
    <row r="34" spans="1:10" x14ac:dyDescent="0.25">
      <c r="A34">
        <f>План_мес!A34</f>
        <v>33</v>
      </c>
      <c r="B34">
        <f>План_мес!B34</f>
        <v>3</v>
      </c>
      <c r="C34" s="2">
        <f>План_мес!D34</f>
        <v>200000</v>
      </c>
      <c r="D34" s="2">
        <f>План_мес!E34</f>
        <v>49.612500000000004</v>
      </c>
      <c r="E34" s="2">
        <f t="shared" ref="E34:E61" si="4">C34*D34</f>
        <v>9922500</v>
      </c>
      <c r="F34" s="1">
        <f>План_мес!F34</f>
        <v>21.796424999999999</v>
      </c>
      <c r="G34" s="2">
        <f t="shared" ref="G34:G61" si="5">C34*F34</f>
        <v>4359285</v>
      </c>
      <c r="H34" s="2">
        <f t="shared" ref="H34:H61" si="6">E34-G34</f>
        <v>5563215</v>
      </c>
      <c r="I34" s="2">
        <f>H34*Параметры!$B$6</f>
        <v>111264.3</v>
      </c>
      <c r="J34" s="2">
        <f t="shared" ref="J34:J61" si="7">H34-I34</f>
        <v>5451950.7000000002</v>
      </c>
    </row>
    <row r="35" spans="1:10" x14ac:dyDescent="0.25">
      <c r="A35">
        <f>План_мес!A35</f>
        <v>34</v>
      </c>
      <c r="B35">
        <f>План_мес!B35</f>
        <v>3</v>
      </c>
      <c r="C35" s="2">
        <f>План_мес!D35</f>
        <v>200000</v>
      </c>
      <c r="D35" s="2">
        <f>План_мес!E35</f>
        <v>49.612500000000004</v>
      </c>
      <c r="E35" s="2">
        <f t="shared" si="4"/>
        <v>9922500</v>
      </c>
      <c r="F35" s="1">
        <f>План_мес!F35</f>
        <v>21.796424999999999</v>
      </c>
      <c r="G35" s="2">
        <f t="shared" si="5"/>
        <v>4359285</v>
      </c>
      <c r="H35" s="2">
        <f t="shared" si="6"/>
        <v>5563215</v>
      </c>
      <c r="I35" s="2">
        <f>H35*Параметры!$B$6</f>
        <v>111264.3</v>
      </c>
      <c r="J35" s="2">
        <f t="shared" si="7"/>
        <v>5451950.7000000002</v>
      </c>
    </row>
    <row r="36" spans="1:10" x14ac:dyDescent="0.25">
      <c r="A36">
        <f>План_мес!A36</f>
        <v>35</v>
      </c>
      <c r="B36">
        <f>План_мес!B36</f>
        <v>3</v>
      </c>
      <c r="C36" s="2">
        <f>План_мес!D36</f>
        <v>200000</v>
      </c>
      <c r="D36" s="2">
        <f>План_мес!E36</f>
        <v>49.612500000000004</v>
      </c>
      <c r="E36" s="2">
        <f t="shared" si="4"/>
        <v>9922500</v>
      </c>
      <c r="F36" s="1">
        <f>План_мес!F36</f>
        <v>21.796424999999999</v>
      </c>
      <c r="G36" s="2">
        <f t="shared" si="5"/>
        <v>4359285</v>
      </c>
      <c r="H36" s="2">
        <f t="shared" si="6"/>
        <v>5563215</v>
      </c>
      <c r="I36" s="2">
        <f>H36*Параметры!$B$6</f>
        <v>111264.3</v>
      </c>
      <c r="J36" s="2">
        <f t="shared" si="7"/>
        <v>5451950.7000000002</v>
      </c>
    </row>
    <row r="37" spans="1:10" x14ac:dyDescent="0.25">
      <c r="A37">
        <f>План_мес!A37</f>
        <v>36</v>
      </c>
      <c r="B37">
        <f>План_мес!B37</f>
        <v>3</v>
      </c>
      <c r="C37" s="2">
        <f>План_мес!D37</f>
        <v>200000</v>
      </c>
      <c r="D37" s="2">
        <f>План_мес!E37</f>
        <v>49.612500000000004</v>
      </c>
      <c r="E37" s="2">
        <f t="shared" si="4"/>
        <v>9922500</v>
      </c>
      <c r="F37" s="1">
        <f>План_мес!F37</f>
        <v>21.796424999999999</v>
      </c>
      <c r="G37" s="2">
        <f t="shared" si="5"/>
        <v>4359285</v>
      </c>
      <c r="H37" s="2">
        <f t="shared" si="6"/>
        <v>5563215</v>
      </c>
      <c r="I37" s="2">
        <f>H37*Параметры!$B$6</f>
        <v>111264.3</v>
      </c>
      <c r="J37" s="2">
        <f t="shared" si="7"/>
        <v>5451950.7000000002</v>
      </c>
    </row>
    <row r="38" spans="1:10" x14ac:dyDescent="0.25">
      <c r="A38">
        <f>План_мес!A38</f>
        <v>37</v>
      </c>
      <c r="B38">
        <f>План_мес!B38</f>
        <v>4</v>
      </c>
      <c r="C38" s="2">
        <f>План_мес!D38</f>
        <v>200000</v>
      </c>
      <c r="D38" s="2">
        <f>План_мес!E38</f>
        <v>52.093125000000008</v>
      </c>
      <c r="E38" s="2">
        <f t="shared" si="4"/>
        <v>10418625.000000002</v>
      </c>
      <c r="F38" s="1">
        <f>План_мес!F38</f>
        <v>22.886246250000003</v>
      </c>
      <c r="G38" s="2">
        <f t="shared" si="5"/>
        <v>4577249.2500000009</v>
      </c>
      <c r="H38" s="2">
        <f t="shared" si="6"/>
        <v>5841375.7500000009</v>
      </c>
      <c r="I38" s="2">
        <f>H38*Параметры!$B$6</f>
        <v>116827.51500000001</v>
      </c>
      <c r="J38" s="2">
        <f t="shared" si="7"/>
        <v>5724548.2350000013</v>
      </c>
    </row>
    <row r="39" spans="1:10" x14ac:dyDescent="0.25">
      <c r="A39">
        <f>План_мес!A39</f>
        <v>38</v>
      </c>
      <c r="B39">
        <f>План_мес!B39</f>
        <v>4</v>
      </c>
      <c r="C39" s="2">
        <f>План_мес!D39</f>
        <v>200000</v>
      </c>
      <c r="D39" s="2">
        <f>План_мес!E39</f>
        <v>52.093125000000008</v>
      </c>
      <c r="E39" s="2">
        <f t="shared" si="4"/>
        <v>10418625.000000002</v>
      </c>
      <c r="F39" s="1">
        <f>План_мес!F39</f>
        <v>22.886246250000003</v>
      </c>
      <c r="G39" s="2">
        <f t="shared" si="5"/>
        <v>4577249.2500000009</v>
      </c>
      <c r="H39" s="2">
        <f t="shared" si="6"/>
        <v>5841375.7500000009</v>
      </c>
      <c r="I39" s="2">
        <f>H39*Параметры!$B$6</f>
        <v>116827.51500000001</v>
      </c>
      <c r="J39" s="2">
        <f t="shared" si="7"/>
        <v>5724548.2350000013</v>
      </c>
    </row>
    <row r="40" spans="1:10" x14ac:dyDescent="0.25">
      <c r="A40">
        <f>План_мес!A40</f>
        <v>39</v>
      </c>
      <c r="B40">
        <f>План_мес!B40</f>
        <v>4</v>
      </c>
      <c r="C40" s="2">
        <f>План_мес!D40</f>
        <v>200000</v>
      </c>
      <c r="D40" s="2">
        <f>План_мес!E40</f>
        <v>52.093125000000008</v>
      </c>
      <c r="E40" s="2">
        <f t="shared" si="4"/>
        <v>10418625.000000002</v>
      </c>
      <c r="F40" s="1">
        <f>План_мес!F40</f>
        <v>22.886246250000003</v>
      </c>
      <c r="G40" s="2">
        <f t="shared" si="5"/>
        <v>4577249.2500000009</v>
      </c>
      <c r="H40" s="2">
        <f t="shared" si="6"/>
        <v>5841375.7500000009</v>
      </c>
      <c r="I40" s="2">
        <f>H40*Параметры!$B$6</f>
        <v>116827.51500000001</v>
      </c>
      <c r="J40" s="2">
        <f t="shared" si="7"/>
        <v>5724548.2350000013</v>
      </c>
    </row>
    <row r="41" spans="1:10" x14ac:dyDescent="0.25">
      <c r="A41">
        <f>План_мес!A41</f>
        <v>40</v>
      </c>
      <c r="B41">
        <f>План_мес!B41</f>
        <v>4</v>
      </c>
      <c r="C41" s="2">
        <f>План_мес!D41</f>
        <v>200000</v>
      </c>
      <c r="D41" s="2">
        <f>План_мес!E41</f>
        <v>52.093125000000008</v>
      </c>
      <c r="E41" s="2">
        <f t="shared" si="4"/>
        <v>10418625.000000002</v>
      </c>
      <c r="F41" s="1">
        <f>План_мес!F41</f>
        <v>22.886246250000003</v>
      </c>
      <c r="G41" s="2">
        <f t="shared" si="5"/>
        <v>4577249.2500000009</v>
      </c>
      <c r="H41" s="2">
        <f t="shared" si="6"/>
        <v>5841375.7500000009</v>
      </c>
      <c r="I41" s="2">
        <f>H41*Параметры!$B$6</f>
        <v>116827.51500000001</v>
      </c>
      <c r="J41" s="2">
        <f t="shared" si="7"/>
        <v>5724548.2350000013</v>
      </c>
    </row>
    <row r="42" spans="1:10" x14ac:dyDescent="0.25">
      <c r="A42">
        <f>План_мес!A42</f>
        <v>41</v>
      </c>
      <c r="B42">
        <f>План_мес!B42</f>
        <v>4</v>
      </c>
      <c r="C42" s="2">
        <f>План_мес!D42</f>
        <v>200000</v>
      </c>
      <c r="D42" s="2">
        <f>План_мес!E42</f>
        <v>52.093125000000008</v>
      </c>
      <c r="E42" s="2">
        <f t="shared" si="4"/>
        <v>10418625.000000002</v>
      </c>
      <c r="F42" s="1">
        <f>План_мес!F42</f>
        <v>22.886246250000003</v>
      </c>
      <c r="G42" s="2">
        <f t="shared" si="5"/>
        <v>4577249.2500000009</v>
      </c>
      <c r="H42" s="2">
        <f t="shared" si="6"/>
        <v>5841375.7500000009</v>
      </c>
      <c r="I42" s="2">
        <f>H42*Параметры!$B$6</f>
        <v>116827.51500000001</v>
      </c>
      <c r="J42" s="2">
        <f t="shared" si="7"/>
        <v>5724548.2350000013</v>
      </c>
    </row>
    <row r="43" spans="1:10" x14ac:dyDescent="0.25">
      <c r="A43">
        <f>План_мес!A43</f>
        <v>42</v>
      </c>
      <c r="B43">
        <f>План_мес!B43</f>
        <v>4</v>
      </c>
      <c r="C43" s="2">
        <f>План_мес!D43</f>
        <v>200000</v>
      </c>
      <c r="D43" s="2">
        <f>План_мес!E43</f>
        <v>52.093125000000008</v>
      </c>
      <c r="E43" s="2">
        <f t="shared" si="4"/>
        <v>10418625.000000002</v>
      </c>
      <c r="F43" s="1">
        <f>План_мес!F43</f>
        <v>22.886246250000003</v>
      </c>
      <c r="G43" s="2">
        <f t="shared" si="5"/>
        <v>4577249.2500000009</v>
      </c>
      <c r="H43" s="2">
        <f t="shared" si="6"/>
        <v>5841375.7500000009</v>
      </c>
      <c r="I43" s="2">
        <f>H43*Параметры!$B$6</f>
        <v>116827.51500000001</v>
      </c>
      <c r="J43" s="2">
        <f t="shared" si="7"/>
        <v>5724548.2350000013</v>
      </c>
    </row>
    <row r="44" spans="1:10" x14ac:dyDescent="0.25">
      <c r="A44">
        <f>План_мес!A44</f>
        <v>43</v>
      </c>
      <c r="B44">
        <f>План_мес!B44</f>
        <v>4</v>
      </c>
      <c r="C44" s="2">
        <f>План_мес!D44</f>
        <v>200000</v>
      </c>
      <c r="D44" s="2">
        <f>План_мес!E44</f>
        <v>52.093125000000008</v>
      </c>
      <c r="E44" s="2">
        <f t="shared" si="4"/>
        <v>10418625.000000002</v>
      </c>
      <c r="F44" s="1">
        <f>План_мес!F44</f>
        <v>22.886246250000003</v>
      </c>
      <c r="G44" s="2">
        <f t="shared" si="5"/>
        <v>4577249.2500000009</v>
      </c>
      <c r="H44" s="2">
        <f t="shared" si="6"/>
        <v>5841375.7500000009</v>
      </c>
      <c r="I44" s="2">
        <f>H44*Параметры!$B$6</f>
        <v>116827.51500000001</v>
      </c>
      <c r="J44" s="2">
        <f t="shared" si="7"/>
        <v>5724548.2350000013</v>
      </c>
    </row>
    <row r="45" spans="1:10" x14ac:dyDescent="0.25">
      <c r="A45">
        <f>План_мес!A45</f>
        <v>44</v>
      </c>
      <c r="B45">
        <f>План_мес!B45</f>
        <v>4</v>
      </c>
      <c r="C45" s="2">
        <f>План_мес!D45</f>
        <v>200000</v>
      </c>
      <c r="D45" s="2">
        <f>План_мес!E45</f>
        <v>52.093125000000008</v>
      </c>
      <c r="E45" s="2">
        <f t="shared" si="4"/>
        <v>10418625.000000002</v>
      </c>
      <c r="F45" s="1">
        <f>План_мес!F45</f>
        <v>22.886246250000003</v>
      </c>
      <c r="G45" s="2">
        <f t="shared" si="5"/>
        <v>4577249.2500000009</v>
      </c>
      <c r="H45" s="2">
        <f t="shared" si="6"/>
        <v>5841375.7500000009</v>
      </c>
      <c r="I45" s="2">
        <f>H45*Параметры!$B$6</f>
        <v>116827.51500000001</v>
      </c>
      <c r="J45" s="2">
        <f t="shared" si="7"/>
        <v>5724548.2350000013</v>
      </c>
    </row>
    <row r="46" spans="1:10" x14ac:dyDescent="0.25">
      <c r="A46">
        <f>План_мес!A46</f>
        <v>45</v>
      </c>
      <c r="B46">
        <f>План_мес!B46</f>
        <v>4</v>
      </c>
      <c r="C46" s="2">
        <f>План_мес!D46</f>
        <v>200000</v>
      </c>
      <c r="D46" s="2">
        <f>План_мес!E46</f>
        <v>52.093125000000008</v>
      </c>
      <c r="E46" s="2">
        <f t="shared" si="4"/>
        <v>10418625.000000002</v>
      </c>
      <c r="F46" s="1">
        <f>План_мес!F46</f>
        <v>22.886246250000003</v>
      </c>
      <c r="G46" s="2">
        <f t="shared" si="5"/>
        <v>4577249.2500000009</v>
      </c>
      <c r="H46" s="2">
        <f t="shared" si="6"/>
        <v>5841375.7500000009</v>
      </c>
      <c r="I46" s="2">
        <f>H46*Параметры!$B$6</f>
        <v>116827.51500000001</v>
      </c>
      <c r="J46" s="2">
        <f t="shared" si="7"/>
        <v>5724548.2350000013</v>
      </c>
    </row>
    <row r="47" spans="1:10" x14ac:dyDescent="0.25">
      <c r="A47">
        <f>План_мес!A47</f>
        <v>46</v>
      </c>
      <c r="B47">
        <f>План_мес!B47</f>
        <v>4</v>
      </c>
      <c r="C47" s="2">
        <f>План_мес!D47</f>
        <v>200000</v>
      </c>
      <c r="D47" s="2">
        <f>План_мес!E47</f>
        <v>52.093125000000008</v>
      </c>
      <c r="E47" s="2">
        <f t="shared" si="4"/>
        <v>10418625.000000002</v>
      </c>
      <c r="F47" s="1">
        <f>План_мес!F47</f>
        <v>22.886246250000003</v>
      </c>
      <c r="G47" s="2">
        <f t="shared" si="5"/>
        <v>4577249.2500000009</v>
      </c>
      <c r="H47" s="2">
        <f t="shared" si="6"/>
        <v>5841375.7500000009</v>
      </c>
      <c r="I47" s="2">
        <f>H47*Параметры!$B$6</f>
        <v>116827.51500000001</v>
      </c>
      <c r="J47" s="2">
        <f t="shared" si="7"/>
        <v>5724548.2350000013</v>
      </c>
    </row>
    <row r="48" spans="1:10" x14ac:dyDescent="0.25">
      <c r="A48">
        <f>План_мес!A48</f>
        <v>47</v>
      </c>
      <c r="B48">
        <f>План_мес!B48</f>
        <v>4</v>
      </c>
      <c r="C48" s="2">
        <f>План_мес!D48</f>
        <v>200000</v>
      </c>
      <c r="D48" s="2">
        <f>План_мес!E48</f>
        <v>52.093125000000008</v>
      </c>
      <c r="E48" s="2">
        <f t="shared" si="4"/>
        <v>10418625.000000002</v>
      </c>
      <c r="F48" s="1">
        <f>План_мес!F48</f>
        <v>22.886246250000003</v>
      </c>
      <c r="G48" s="2">
        <f t="shared" si="5"/>
        <v>4577249.2500000009</v>
      </c>
      <c r="H48" s="2">
        <f t="shared" si="6"/>
        <v>5841375.7500000009</v>
      </c>
      <c r="I48" s="2">
        <f>H48*Параметры!$B$6</f>
        <v>116827.51500000001</v>
      </c>
      <c r="J48" s="2">
        <f t="shared" si="7"/>
        <v>5724548.2350000013</v>
      </c>
    </row>
    <row r="49" spans="1:10" x14ac:dyDescent="0.25">
      <c r="A49">
        <f>План_мес!A49</f>
        <v>48</v>
      </c>
      <c r="B49">
        <f>План_мес!B49</f>
        <v>4</v>
      </c>
      <c r="C49" s="2">
        <f>План_мес!D49</f>
        <v>200000</v>
      </c>
      <c r="D49" s="2">
        <f>План_мес!E49</f>
        <v>52.093125000000008</v>
      </c>
      <c r="E49" s="2">
        <f t="shared" si="4"/>
        <v>10418625.000000002</v>
      </c>
      <c r="F49" s="1">
        <f>План_мес!F49</f>
        <v>22.886246250000003</v>
      </c>
      <c r="G49" s="2">
        <f t="shared" si="5"/>
        <v>4577249.2500000009</v>
      </c>
      <c r="H49" s="2">
        <f t="shared" si="6"/>
        <v>5841375.7500000009</v>
      </c>
      <c r="I49" s="2">
        <f>H49*Параметры!$B$6</f>
        <v>116827.51500000001</v>
      </c>
      <c r="J49" s="2">
        <f t="shared" si="7"/>
        <v>5724548.2350000013</v>
      </c>
    </row>
    <row r="50" spans="1:10" x14ac:dyDescent="0.25">
      <c r="A50">
        <f>План_мес!A50</f>
        <v>49</v>
      </c>
      <c r="B50">
        <f>План_мес!B50</f>
        <v>5</v>
      </c>
      <c r="C50" s="2">
        <f>План_мес!D50</f>
        <v>200000</v>
      </c>
      <c r="D50" s="2">
        <f>План_мес!E50</f>
        <v>54.697781249999998</v>
      </c>
      <c r="E50" s="2">
        <f t="shared" si="4"/>
        <v>10939556.25</v>
      </c>
      <c r="F50" s="1">
        <f>План_мес!F50</f>
        <v>24.030558562500001</v>
      </c>
      <c r="G50" s="2">
        <f t="shared" si="5"/>
        <v>4806111.7125000004</v>
      </c>
      <c r="H50" s="2">
        <f t="shared" si="6"/>
        <v>6133444.5374999996</v>
      </c>
      <c r="I50" s="2">
        <f>H50*Параметры!$B$6</f>
        <v>122668.89074999999</v>
      </c>
      <c r="J50" s="2">
        <f t="shared" si="7"/>
        <v>6010775.6467499994</v>
      </c>
    </row>
    <row r="51" spans="1:10" x14ac:dyDescent="0.25">
      <c r="A51">
        <f>План_мес!A51</f>
        <v>50</v>
      </c>
      <c r="B51">
        <f>План_мес!B51</f>
        <v>5</v>
      </c>
      <c r="C51" s="2">
        <f>План_мес!D51</f>
        <v>200000</v>
      </c>
      <c r="D51" s="2">
        <f>План_мес!E51</f>
        <v>54.697781249999998</v>
      </c>
      <c r="E51" s="2">
        <f t="shared" si="4"/>
        <v>10939556.25</v>
      </c>
      <c r="F51" s="1">
        <f>План_мес!F51</f>
        <v>24.030558562500001</v>
      </c>
      <c r="G51" s="2">
        <f t="shared" si="5"/>
        <v>4806111.7125000004</v>
      </c>
      <c r="H51" s="2">
        <f t="shared" si="6"/>
        <v>6133444.5374999996</v>
      </c>
      <c r="I51" s="2">
        <f>H51*Параметры!$B$6</f>
        <v>122668.89074999999</v>
      </c>
      <c r="J51" s="2">
        <f t="shared" si="7"/>
        <v>6010775.6467499994</v>
      </c>
    </row>
    <row r="52" spans="1:10" x14ac:dyDescent="0.25">
      <c r="A52">
        <f>План_мес!A52</f>
        <v>51</v>
      </c>
      <c r="B52">
        <f>План_мес!B52</f>
        <v>5</v>
      </c>
      <c r="C52" s="2">
        <f>План_мес!D52</f>
        <v>200000</v>
      </c>
      <c r="D52" s="2">
        <f>План_мес!E52</f>
        <v>54.697781249999998</v>
      </c>
      <c r="E52" s="2">
        <f t="shared" si="4"/>
        <v>10939556.25</v>
      </c>
      <c r="F52" s="1">
        <f>План_мес!F52</f>
        <v>24.030558562500001</v>
      </c>
      <c r="G52" s="2">
        <f t="shared" si="5"/>
        <v>4806111.7125000004</v>
      </c>
      <c r="H52" s="2">
        <f t="shared" si="6"/>
        <v>6133444.5374999996</v>
      </c>
      <c r="I52" s="2">
        <f>H52*Параметры!$B$6</f>
        <v>122668.89074999999</v>
      </c>
      <c r="J52" s="2">
        <f t="shared" si="7"/>
        <v>6010775.6467499994</v>
      </c>
    </row>
    <row r="53" spans="1:10" x14ac:dyDescent="0.25">
      <c r="A53">
        <f>План_мес!A53</f>
        <v>52</v>
      </c>
      <c r="B53">
        <f>План_мес!B53</f>
        <v>5</v>
      </c>
      <c r="C53" s="2">
        <f>План_мес!D53</f>
        <v>200000</v>
      </c>
      <c r="D53" s="2">
        <f>План_мес!E53</f>
        <v>54.697781249999998</v>
      </c>
      <c r="E53" s="2">
        <f t="shared" si="4"/>
        <v>10939556.25</v>
      </c>
      <c r="F53" s="1">
        <f>План_мес!F53</f>
        <v>24.030558562500001</v>
      </c>
      <c r="G53" s="2">
        <f t="shared" si="5"/>
        <v>4806111.7125000004</v>
      </c>
      <c r="H53" s="2">
        <f t="shared" si="6"/>
        <v>6133444.5374999996</v>
      </c>
      <c r="I53" s="2">
        <f>H53*Параметры!$B$6</f>
        <v>122668.89074999999</v>
      </c>
      <c r="J53" s="2">
        <f t="shared" si="7"/>
        <v>6010775.6467499994</v>
      </c>
    </row>
    <row r="54" spans="1:10" x14ac:dyDescent="0.25">
      <c r="A54">
        <f>План_мес!A54</f>
        <v>53</v>
      </c>
      <c r="B54">
        <f>План_мес!B54</f>
        <v>5</v>
      </c>
      <c r="C54" s="2">
        <f>План_мес!D54</f>
        <v>200000</v>
      </c>
      <c r="D54" s="2">
        <f>План_мес!E54</f>
        <v>54.697781249999998</v>
      </c>
      <c r="E54" s="2">
        <f t="shared" si="4"/>
        <v>10939556.25</v>
      </c>
      <c r="F54" s="1">
        <f>План_мес!F54</f>
        <v>24.030558562500001</v>
      </c>
      <c r="G54" s="2">
        <f t="shared" si="5"/>
        <v>4806111.7125000004</v>
      </c>
      <c r="H54" s="2">
        <f t="shared" si="6"/>
        <v>6133444.5374999996</v>
      </c>
      <c r="I54" s="2">
        <f>H54*Параметры!$B$6</f>
        <v>122668.89074999999</v>
      </c>
      <c r="J54" s="2">
        <f t="shared" si="7"/>
        <v>6010775.6467499994</v>
      </c>
    </row>
    <row r="55" spans="1:10" x14ac:dyDescent="0.25">
      <c r="A55">
        <f>План_мес!A55</f>
        <v>54</v>
      </c>
      <c r="B55">
        <f>План_мес!B55</f>
        <v>5</v>
      </c>
      <c r="C55" s="2">
        <f>План_мес!D55</f>
        <v>200000</v>
      </c>
      <c r="D55" s="2">
        <f>План_мес!E55</f>
        <v>54.697781249999998</v>
      </c>
      <c r="E55" s="2">
        <f t="shared" si="4"/>
        <v>10939556.25</v>
      </c>
      <c r="F55" s="1">
        <f>План_мес!F55</f>
        <v>24.030558562500001</v>
      </c>
      <c r="G55" s="2">
        <f t="shared" si="5"/>
        <v>4806111.7125000004</v>
      </c>
      <c r="H55" s="2">
        <f t="shared" si="6"/>
        <v>6133444.5374999996</v>
      </c>
      <c r="I55" s="2">
        <f>H55*Параметры!$B$6</f>
        <v>122668.89074999999</v>
      </c>
      <c r="J55" s="2">
        <f t="shared" si="7"/>
        <v>6010775.6467499994</v>
      </c>
    </row>
    <row r="56" spans="1:10" x14ac:dyDescent="0.25">
      <c r="A56">
        <f>План_мес!A56</f>
        <v>55</v>
      </c>
      <c r="B56">
        <f>План_мес!B56</f>
        <v>5</v>
      </c>
      <c r="C56" s="2">
        <f>План_мес!D56</f>
        <v>200000</v>
      </c>
      <c r="D56" s="2">
        <f>План_мес!E56</f>
        <v>54.697781249999998</v>
      </c>
      <c r="E56" s="2">
        <f t="shared" si="4"/>
        <v>10939556.25</v>
      </c>
      <c r="F56" s="1">
        <f>План_мес!F56</f>
        <v>24.030558562500001</v>
      </c>
      <c r="G56" s="2">
        <f t="shared" si="5"/>
        <v>4806111.7125000004</v>
      </c>
      <c r="H56" s="2">
        <f t="shared" si="6"/>
        <v>6133444.5374999996</v>
      </c>
      <c r="I56" s="2">
        <f>H56*Параметры!$B$6</f>
        <v>122668.89074999999</v>
      </c>
      <c r="J56" s="2">
        <f t="shared" si="7"/>
        <v>6010775.6467499994</v>
      </c>
    </row>
    <row r="57" spans="1:10" x14ac:dyDescent="0.25">
      <c r="A57">
        <f>План_мес!A57</f>
        <v>56</v>
      </c>
      <c r="B57">
        <f>План_мес!B57</f>
        <v>5</v>
      </c>
      <c r="C57" s="2">
        <f>План_мес!D57</f>
        <v>200000</v>
      </c>
      <c r="D57" s="2">
        <f>План_мес!E57</f>
        <v>54.697781249999998</v>
      </c>
      <c r="E57" s="2">
        <f t="shared" si="4"/>
        <v>10939556.25</v>
      </c>
      <c r="F57" s="1">
        <f>План_мес!F57</f>
        <v>24.030558562500001</v>
      </c>
      <c r="G57" s="2">
        <f t="shared" si="5"/>
        <v>4806111.7125000004</v>
      </c>
      <c r="H57" s="2">
        <f t="shared" si="6"/>
        <v>6133444.5374999996</v>
      </c>
      <c r="I57" s="2">
        <f>H57*Параметры!$B$6</f>
        <v>122668.89074999999</v>
      </c>
      <c r="J57" s="2">
        <f t="shared" si="7"/>
        <v>6010775.6467499994</v>
      </c>
    </row>
    <row r="58" spans="1:10" x14ac:dyDescent="0.25">
      <c r="A58">
        <f>План_мес!A58</f>
        <v>57</v>
      </c>
      <c r="B58">
        <f>План_мес!B58</f>
        <v>5</v>
      </c>
      <c r="C58" s="2">
        <f>План_мес!D58</f>
        <v>200000</v>
      </c>
      <c r="D58" s="2">
        <f>План_мес!E58</f>
        <v>54.697781249999998</v>
      </c>
      <c r="E58" s="2">
        <f t="shared" si="4"/>
        <v>10939556.25</v>
      </c>
      <c r="F58" s="1">
        <f>План_мес!F58</f>
        <v>24.030558562500001</v>
      </c>
      <c r="G58" s="2">
        <f t="shared" si="5"/>
        <v>4806111.7125000004</v>
      </c>
      <c r="H58" s="2">
        <f t="shared" si="6"/>
        <v>6133444.5374999996</v>
      </c>
      <c r="I58" s="2">
        <f>H58*Параметры!$B$6</f>
        <v>122668.89074999999</v>
      </c>
      <c r="J58" s="2">
        <f t="shared" si="7"/>
        <v>6010775.6467499994</v>
      </c>
    </row>
    <row r="59" spans="1:10" x14ac:dyDescent="0.25">
      <c r="A59">
        <f>План_мес!A59</f>
        <v>58</v>
      </c>
      <c r="B59">
        <f>План_мес!B59</f>
        <v>5</v>
      </c>
      <c r="C59" s="2">
        <f>План_мес!D59</f>
        <v>200000</v>
      </c>
      <c r="D59" s="2">
        <f>План_мес!E59</f>
        <v>54.697781249999998</v>
      </c>
      <c r="E59" s="2">
        <f t="shared" si="4"/>
        <v>10939556.25</v>
      </c>
      <c r="F59" s="1">
        <f>План_мес!F59</f>
        <v>24.030558562500001</v>
      </c>
      <c r="G59" s="2">
        <f t="shared" si="5"/>
        <v>4806111.7125000004</v>
      </c>
      <c r="H59" s="2">
        <f t="shared" si="6"/>
        <v>6133444.5374999996</v>
      </c>
      <c r="I59" s="2">
        <f>H59*Параметры!$B$6</f>
        <v>122668.89074999999</v>
      </c>
      <c r="J59" s="2">
        <f t="shared" si="7"/>
        <v>6010775.6467499994</v>
      </c>
    </row>
    <row r="60" spans="1:10" x14ac:dyDescent="0.25">
      <c r="A60">
        <f>План_мес!A60</f>
        <v>59</v>
      </c>
      <c r="B60">
        <f>План_мес!B60</f>
        <v>5</v>
      </c>
      <c r="C60" s="2">
        <f>План_мес!D60</f>
        <v>200000</v>
      </c>
      <c r="D60" s="2">
        <f>План_мес!E60</f>
        <v>54.697781249999998</v>
      </c>
      <c r="E60" s="2">
        <f t="shared" si="4"/>
        <v>10939556.25</v>
      </c>
      <c r="F60" s="1">
        <f>План_мес!F60</f>
        <v>24.030558562500001</v>
      </c>
      <c r="G60" s="2">
        <f t="shared" si="5"/>
        <v>4806111.7125000004</v>
      </c>
      <c r="H60" s="2">
        <f t="shared" si="6"/>
        <v>6133444.5374999996</v>
      </c>
      <c r="I60" s="2">
        <f>H60*Параметры!$B$6</f>
        <v>122668.89074999999</v>
      </c>
      <c r="J60" s="2">
        <f t="shared" si="7"/>
        <v>6010775.6467499994</v>
      </c>
    </row>
    <row r="61" spans="1:10" x14ac:dyDescent="0.25">
      <c r="A61">
        <f>План_мес!A61</f>
        <v>60</v>
      </c>
      <c r="B61">
        <f>План_мес!B61</f>
        <v>5</v>
      </c>
      <c r="C61" s="2">
        <f>План_мес!D61</f>
        <v>200000</v>
      </c>
      <c r="D61" s="2">
        <f>План_мес!E61</f>
        <v>54.697781249999998</v>
      </c>
      <c r="E61" s="2">
        <f t="shared" si="4"/>
        <v>10939556.25</v>
      </c>
      <c r="F61" s="1">
        <f>План_мес!F61</f>
        <v>24.030558562500001</v>
      </c>
      <c r="G61" s="2">
        <f t="shared" si="5"/>
        <v>4806111.7125000004</v>
      </c>
      <c r="H61" s="2">
        <f t="shared" si="6"/>
        <v>6133444.5374999996</v>
      </c>
      <c r="I61" s="2">
        <f>H61*Параметры!$B$6</f>
        <v>122668.89074999999</v>
      </c>
      <c r="J61" s="2">
        <f t="shared" si="7"/>
        <v>6010775.6467499994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F6"/>
  <sheetViews>
    <sheetView workbookViewId="0">
      <selection activeCell="G16" sqref="G16"/>
    </sheetView>
  </sheetViews>
  <sheetFormatPr defaultRowHeight="15" x14ac:dyDescent="0.25"/>
  <cols>
    <col min="1" max="1" width="4.140625" bestFit="1" customWidth="1"/>
    <col min="2" max="2" width="12.28515625" bestFit="1" customWidth="1"/>
    <col min="3" max="3" width="11.28515625" bestFit="1" customWidth="1"/>
    <col min="4" max="4" width="18.85546875" bestFit="1" customWidth="1"/>
    <col min="5" max="5" width="12.28515625" bestFit="1" customWidth="1"/>
    <col min="6" max="6" width="15.5703125" customWidth="1"/>
  </cols>
  <sheetData>
    <row r="1" spans="1:6" x14ac:dyDescent="0.25">
      <c r="A1" t="s">
        <v>21</v>
      </c>
      <c r="B1" t="s">
        <v>35</v>
      </c>
      <c r="C1" t="s">
        <v>40</v>
      </c>
      <c r="D1" t="s">
        <v>37</v>
      </c>
      <c r="E1" t="s">
        <v>38</v>
      </c>
      <c r="F1" t="s">
        <v>39</v>
      </c>
    </row>
    <row r="2" spans="1:6" x14ac:dyDescent="0.25">
      <c r="A2">
        <v>1</v>
      </c>
      <c r="B2" s="2">
        <f>SUMIF(PL_мес!$B:$B,A2,PL_мес!$E:$E)</f>
        <v>86400000</v>
      </c>
      <c r="C2" s="2">
        <f>SUMIF(PL_мес!$B:$B,A2,PL_мес!$G:$G)</f>
        <v>37958400</v>
      </c>
      <c r="D2" s="2">
        <f>B2-C2</f>
        <v>48441600</v>
      </c>
      <c r="E2" s="2">
        <f>SUMIF(PL_мес!$B:$B,A2,PL_мес!$I:$I)</f>
        <v>968832</v>
      </c>
      <c r="F2" s="2">
        <f>SUMIF(PL_мес!$B:$B,A2,PL_мес!$J:$J)</f>
        <v>47472768</v>
      </c>
    </row>
    <row r="3" spans="1:6" x14ac:dyDescent="0.25">
      <c r="A3">
        <v>2</v>
      </c>
      <c r="B3" s="2">
        <f>SUMIF(PL_мес!$B:$B,A3,PL_мес!$E:$E)</f>
        <v>102060000</v>
      </c>
      <c r="C3" s="2">
        <f>SUMIF(PL_мес!$B:$B,A3,PL_мес!$G:$G)</f>
        <v>44838360.000000007</v>
      </c>
      <c r="D3" s="2">
        <f>B3-C3</f>
        <v>57221639.999999993</v>
      </c>
      <c r="E3" s="2">
        <f>SUMIF(PL_мес!$B:$B,A3,PL_мес!$I:$I)</f>
        <v>1144432.8</v>
      </c>
      <c r="F3" s="2">
        <f>SUMIF(PL_мес!$B:$B,A3,PL_мес!$J:$J)</f>
        <v>56077207.20000001</v>
      </c>
    </row>
    <row r="4" spans="1:6" x14ac:dyDescent="0.25">
      <c r="A4">
        <v>3</v>
      </c>
      <c r="B4" s="2">
        <f>SUMIF(PL_мес!$B:$B,A4,PL_мес!$E:$E)</f>
        <v>119070000</v>
      </c>
      <c r="C4" s="2">
        <f>SUMIF(PL_мес!$B:$B,A4,PL_мес!$G:$G)</f>
        <v>52311420</v>
      </c>
      <c r="D4" s="2">
        <f>B4-C4</f>
        <v>66758580</v>
      </c>
      <c r="E4" s="2">
        <f>SUMIF(PL_мес!$B:$B,A4,PL_мес!$I:$I)</f>
        <v>1335171.6000000003</v>
      </c>
      <c r="F4" s="2">
        <f>SUMIF(PL_мес!$B:$B,A4,PL_мес!$J:$J)</f>
        <v>65423408.400000013</v>
      </c>
    </row>
    <row r="5" spans="1:6" x14ac:dyDescent="0.25">
      <c r="A5">
        <v>4</v>
      </c>
      <c r="B5" s="2">
        <f>SUMIF(PL_мес!$B:$B,A5,PL_мес!$E:$E)</f>
        <v>125023500.00000001</v>
      </c>
      <c r="C5" s="2">
        <f>SUMIF(PL_мес!$B:$B,A5,PL_мес!$G:$G)</f>
        <v>54926991.000000007</v>
      </c>
      <c r="D5" s="2">
        <f>B5-C5</f>
        <v>70096509</v>
      </c>
      <c r="E5" s="2">
        <f>SUMIF(PL_мес!$B:$B,A5,PL_мес!$I:$I)</f>
        <v>1401930.1800000006</v>
      </c>
      <c r="F5" s="2">
        <f>SUMIF(PL_мес!$B:$B,A5,PL_мес!$J:$J)</f>
        <v>68694578.820000008</v>
      </c>
    </row>
    <row r="6" spans="1:6" x14ac:dyDescent="0.25">
      <c r="A6">
        <v>5</v>
      </c>
      <c r="B6" s="2">
        <f>SUMIF(PL_мес!$B:$B,A6,PL_мес!$E:$E)</f>
        <v>131274675</v>
      </c>
      <c r="C6" s="2">
        <f>SUMIF(PL_мес!$B:$B,A6,PL_мес!$G:$G)</f>
        <v>57673340.54999999</v>
      </c>
      <c r="D6" s="2">
        <f>B6-C6</f>
        <v>73601334.450000018</v>
      </c>
      <c r="E6" s="2">
        <f>SUMIF(PL_мес!$B:$B,A6,PL_мес!$I:$I)</f>
        <v>1472026.689</v>
      </c>
      <c r="F6" s="2">
        <f>SUMIF(PL_мес!$B:$B,A6,PL_мес!$J:$J)</f>
        <v>72129307.761000007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7"/>
  <sheetViews>
    <sheetView workbookViewId="0">
      <selection activeCell="S11" sqref="S11"/>
    </sheetView>
  </sheetViews>
  <sheetFormatPr defaultRowHeight="15" x14ac:dyDescent="0.25"/>
  <cols>
    <col min="1" max="1" width="4.140625" bestFit="1" customWidth="1"/>
    <col min="2" max="2" width="18.28515625" style="5" customWidth="1"/>
  </cols>
  <sheetData>
    <row r="1" spans="1:2" x14ac:dyDescent="0.25">
      <c r="A1" t="s">
        <v>21</v>
      </c>
      <c r="B1" s="5" t="s">
        <v>49</v>
      </c>
    </row>
    <row r="2" spans="1:2" x14ac:dyDescent="0.25">
      <c r="A2">
        <v>0</v>
      </c>
      <c r="B2" s="5">
        <f>-Параметры!B2</f>
        <v>-170000000</v>
      </c>
    </row>
    <row r="3" spans="1:2" x14ac:dyDescent="0.25">
      <c r="A3">
        <v>1</v>
      </c>
      <c r="B3" s="5">
        <f>PL_год!F2</f>
        <v>47472768</v>
      </c>
    </row>
    <row r="4" spans="1:2" x14ac:dyDescent="0.25">
      <c r="A4">
        <v>2</v>
      </c>
      <c r="B4" s="5">
        <f>PL_год!F3</f>
        <v>56077207.20000001</v>
      </c>
    </row>
    <row r="5" spans="1:2" x14ac:dyDescent="0.25">
      <c r="A5">
        <v>3</v>
      </c>
      <c r="B5" s="5">
        <f>PL_год!F4</f>
        <v>65423408.400000013</v>
      </c>
    </row>
    <row r="6" spans="1:2" x14ac:dyDescent="0.25">
      <c r="A6">
        <v>4</v>
      </c>
      <c r="B6" s="5">
        <f>PL_год!F5</f>
        <v>68694578.820000008</v>
      </c>
    </row>
    <row r="7" spans="1:2" x14ac:dyDescent="0.25">
      <c r="A7">
        <v>5</v>
      </c>
      <c r="B7" s="5">
        <f>PL_год!F6</f>
        <v>72129307.761000007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2:B8"/>
  <sheetViews>
    <sheetView workbookViewId="0">
      <selection activeCell="C4" sqref="C4"/>
    </sheetView>
  </sheetViews>
  <sheetFormatPr defaultRowHeight="15" x14ac:dyDescent="0.25"/>
  <cols>
    <col min="1" max="1" width="45.5703125" bestFit="1" customWidth="1"/>
    <col min="2" max="2" width="12.28515625" bestFit="1" customWidth="1"/>
  </cols>
  <sheetData>
    <row r="2" spans="1:2" x14ac:dyDescent="0.25">
      <c r="A2" t="s">
        <v>1</v>
      </c>
      <c r="B2" s="2">
        <f>Параметры!B2</f>
        <v>170000000</v>
      </c>
    </row>
    <row r="3" spans="1:2" x14ac:dyDescent="0.25">
      <c r="A3" t="s">
        <v>50</v>
      </c>
      <c r="B3" s="2">
        <f>AVERAGE(PL_год!F4:F6)</f>
        <v>68749098.327000007</v>
      </c>
    </row>
    <row r="4" spans="1:2" x14ac:dyDescent="0.25">
      <c r="A4" t="s">
        <v>51</v>
      </c>
      <c r="B4" s="8">
        <f>B2/B3</f>
        <v>2.4727597035732392</v>
      </c>
    </row>
    <row r="6" spans="1:2" x14ac:dyDescent="0.25">
      <c r="A6" t="s">
        <v>8</v>
      </c>
      <c r="B6">
        <v>0.2</v>
      </c>
    </row>
    <row r="7" spans="1:2" x14ac:dyDescent="0.25">
      <c r="A7" t="s">
        <v>52</v>
      </c>
      <c r="B7" s="2">
        <f>NPV(B6,Потоки!B3:B7)+Потоки!B2</f>
        <v>8479237.48046875</v>
      </c>
    </row>
    <row r="8" spans="1:2" x14ac:dyDescent="0.25">
      <c r="A8" t="s">
        <v>53</v>
      </c>
      <c r="B8" s="7">
        <f>IRR(Потоки!B2:B7)</f>
        <v>0.22079917732120391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tabColor theme="9" tint="0.79998168889431442"/>
  </sheetPr>
  <dimension ref="A1:G62"/>
  <sheetViews>
    <sheetView workbookViewId="0">
      <selection activeCell="D2" sqref="D2"/>
    </sheetView>
  </sheetViews>
  <sheetFormatPr defaultRowHeight="15" x14ac:dyDescent="0.25"/>
  <cols>
    <col min="1" max="1" width="6.85546875" bestFit="1" customWidth="1"/>
    <col min="2" max="2" width="17.85546875" bestFit="1" customWidth="1"/>
    <col min="3" max="3" width="16.140625" style="3" bestFit="1" customWidth="1"/>
    <col min="4" max="4" width="16.7109375" bestFit="1" customWidth="1"/>
    <col min="5" max="5" width="10.28515625" bestFit="1" customWidth="1"/>
    <col min="6" max="6" width="16" bestFit="1" customWidth="1"/>
    <col min="7" max="7" width="16.85546875" bestFit="1" customWidth="1"/>
  </cols>
  <sheetData>
    <row r="1" spans="1:7" x14ac:dyDescent="0.25">
      <c r="A1" t="s">
        <v>20</v>
      </c>
      <c r="B1" t="s">
        <v>41</v>
      </c>
      <c r="C1" s="3" t="s">
        <v>42</v>
      </c>
      <c r="D1" t="s">
        <v>43</v>
      </c>
      <c r="E1" t="s">
        <v>44</v>
      </c>
      <c r="F1" t="s">
        <v>45</v>
      </c>
      <c r="G1" t="s">
        <v>46</v>
      </c>
    </row>
    <row r="2" spans="1:7" x14ac:dyDescent="0.25">
      <c r="A2">
        <v>1</v>
      </c>
      <c r="B2" s="2">
        <f>Параметры!B19</f>
        <v>85000000</v>
      </c>
      <c r="C2" s="3">
        <f>Параметры!B17/12</f>
        <v>1.2499999999999999E-2</v>
      </c>
      <c r="D2" s="2">
        <f>PMT(Параметры!B17/12,Параметры!B21,-Параметры!B19)</f>
        <v>2022144.0573404925</v>
      </c>
      <c r="E2" s="2">
        <f t="shared" ref="E2:E33" si="0">B2*C2</f>
        <v>1062500</v>
      </c>
      <c r="F2" s="2">
        <f t="shared" ref="F2:F33" si="1">D2-E2</f>
        <v>959644.05734049249</v>
      </c>
      <c r="G2" s="2">
        <f>B2-F2</f>
        <v>84040355.942659512</v>
      </c>
    </row>
    <row r="3" spans="1:7" x14ac:dyDescent="0.25">
      <c r="A3">
        <f t="shared" ref="A3:A34" si="2">A2+1</f>
        <v>2</v>
      </c>
      <c r="B3" s="2">
        <f>IF(A3&lt;=Параметры!$B$21,G2,0)</f>
        <v>84040355.942659512</v>
      </c>
      <c r="C3" s="3">
        <f>Параметры!B17/12</f>
        <v>1.2499999999999999E-2</v>
      </c>
      <c r="D3" s="2">
        <f>IF(A3&lt;=Параметры!$B$21,PMT(Параметры!B17/12,Параметры!B21,-Параметры!B19),0)</f>
        <v>2022144.0573404925</v>
      </c>
      <c r="E3" s="2">
        <f t="shared" si="0"/>
        <v>1050504.4492832439</v>
      </c>
      <c r="F3" s="2">
        <f t="shared" si="1"/>
        <v>971639.60805724864</v>
      </c>
      <c r="G3" s="2">
        <f>IF(A3&lt;=Параметры!$B$21,B3-F3,0)</f>
        <v>83068716.334602267</v>
      </c>
    </row>
    <row r="4" spans="1:7" x14ac:dyDescent="0.25">
      <c r="A4">
        <f t="shared" si="2"/>
        <v>3</v>
      </c>
      <c r="B4" s="2">
        <f>IF(A4&lt;=Параметры!$B$21,G3,0)</f>
        <v>83068716.334602267</v>
      </c>
      <c r="C4" s="3">
        <f>Параметры!B17/12</f>
        <v>1.2499999999999999E-2</v>
      </c>
      <c r="D4" s="2">
        <f>IF(A4&lt;=Параметры!$B$21,PMT(Параметры!B17/12,Параметры!B21,-Параметры!B19),0)</f>
        <v>2022144.0573404925</v>
      </c>
      <c r="E4" s="2">
        <f t="shared" si="0"/>
        <v>1038358.9541825282</v>
      </c>
      <c r="F4" s="2">
        <f t="shared" si="1"/>
        <v>983785.1031579643</v>
      </c>
      <c r="G4" s="2">
        <f>IF(A4&lt;=Параметры!$B$21,B4-F4,0)</f>
        <v>82084931.231444299</v>
      </c>
    </row>
    <row r="5" spans="1:7" x14ac:dyDescent="0.25">
      <c r="A5">
        <f t="shared" si="2"/>
        <v>4</v>
      </c>
      <c r="B5" s="2">
        <f>IF(A5&lt;=Параметры!$B$21,G4,0)</f>
        <v>82084931.231444299</v>
      </c>
      <c r="C5" s="3">
        <f>Параметры!B17/12</f>
        <v>1.2499999999999999E-2</v>
      </c>
      <c r="D5" s="2">
        <f>IF(A5&lt;=Параметры!$B$21,PMT(Параметры!B17/12,Параметры!B21,-Параметры!B19),0)</f>
        <v>2022144.0573404925</v>
      </c>
      <c r="E5" s="2">
        <f t="shared" si="0"/>
        <v>1026061.6403930536</v>
      </c>
      <c r="F5" s="2">
        <f t="shared" si="1"/>
        <v>996082.41694743885</v>
      </c>
      <c r="G5" s="2">
        <f>IF(A5&lt;=Параметры!$B$21,B5-F5,0)</f>
        <v>81088848.81449686</v>
      </c>
    </row>
    <row r="6" spans="1:7" x14ac:dyDescent="0.25">
      <c r="A6">
        <f t="shared" si="2"/>
        <v>5</v>
      </c>
      <c r="B6" s="2">
        <f>IF(A6&lt;=Параметры!$B$21,G5,0)</f>
        <v>81088848.81449686</v>
      </c>
      <c r="C6" s="3">
        <f>Параметры!B17/12</f>
        <v>1.2499999999999999E-2</v>
      </c>
      <c r="D6" s="2">
        <f>IF(A6&lt;=Параметры!$B$21,PMT(Параметры!B17/12,Параметры!B21,-Параметры!B19),0)</f>
        <v>2022144.0573404925</v>
      </c>
      <c r="E6" s="2">
        <f t="shared" si="0"/>
        <v>1013610.6101812107</v>
      </c>
      <c r="F6" s="2">
        <f t="shared" si="1"/>
        <v>1008533.4471592818</v>
      </c>
      <c r="G6" s="2">
        <f>IF(A6&lt;=Параметры!$B$21,B6-F6,0)</f>
        <v>80080315.367337584</v>
      </c>
    </row>
    <row r="7" spans="1:7" x14ac:dyDescent="0.25">
      <c r="A7">
        <f t="shared" si="2"/>
        <v>6</v>
      </c>
      <c r="B7" s="2">
        <f>IF(A7&lt;=Параметры!$B$21,G6,0)</f>
        <v>80080315.367337584</v>
      </c>
      <c r="C7" s="3">
        <f>Параметры!B17/12</f>
        <v>1.2499999999999999E-2</v>
      </c>
      <c r="D7" s="2">
        <f>IF(A7&lt;=Параметры!$B$21,PMT(Параметры!B17/12,Параметры!B21,-Параметры!B19),0)</f>
        <v>2022144.0573404925</v>
      </c>
      <c r="E7" s="2">
        <f t="shared" si="0"/>
        <v>1001003.9420917197</v>
      </c>
      <c r="F7" s="2">
        <f t="shared" si="1"/>
        <v>1021140.1152487728</v>
      </c>
      <c r="G7" s="2">
        <f>IF(A7&lt;=Параметры!$B$21,B7-F7,0)</f>
        <v>79059175.252088815</v>
      </c>
    </row>
    <row r="8" spans="1:7" x14ac:dyDescent="0.25">
      <c r="A8">
        <f t="shared" si="2"/>
        <v>7</v>
      </c>
      <c r="B8" s="2">
        <f>IF(A8&lt;=Параметры!$B$21,G7,0)</f>
        <v>79059175.252088815</v>
      </c>
      <c r="C8" s="3">
        <f>Параметры!B17/12</f>
        <v>1.2499999999999999E-2</v>
      </c>
      <c r="D8" s="2">
        <f>IF(A8&lt;=Параметры!$B$21,PMT(Параметры!B17/12,Параметры!B21,-Параметры!B19),0)</f>
        <v>2022144.0573404925</v>
      </c>
      <c r="E8" s="2">
        <f t="shared" si="0"/>
        <v>988239.69065111014</v>
      </c>
      <c r="F8" s="2">
        <f t="shared" si="1"/>
        <v>1033904.3666893824</v>
      </c>
      <c r="G8" s="2">
        <f>IF(A8&lt;=Параметры!$B$21,B8-F8,0)</f>
        <v>78025270.885399431</v>
      </c>
    </row>
    <row r="9" spans="1:7" x14ac:dyDescent="0.25">
      <c r="A9">
        <f t="shared" si="2"/>
        <v>8</v>
      </c>
      <c r="B9" s="2">
        <f>IF(A9&lt;=Параметры!$B$21,G8,0)</f>
        <v>78025270.885399431</v>
      </c>
      <c r="C9" s="3">
        <f>Параметры!B17/12</f>
        <v>1.2499999999999999E-2</v>
      </c>
      <c r="D9" s="2">
        <f>IF(A9&lt;=Параметры!$B$21,PMT(Параметры!B17/12,Параметры!B21,-Параметры!B19),0)</f>
        <v>2022144.0573404925</v>
      </c>
      <c r="E9" s="2">
        <f t="shared" si="0"/>
        <v>975315.88606749277</v>
      </c>
      <c r="F9" s="2">
        <f t="shared" si="1"/>
        <v>1046828.1712729997</v>
      </c>
      <c r="G9" s="2">
        <f>IF(A9&lt;=Параметры!$B$21,B9-F9,0)</f>
        <v>76978442.714126438</v>
      </c>
    </row>
    <row r="10" spans="1:7" x14ac:dyDescent="0.25">
      <c r="A10">
        <f t="shared" si="2"/>
        <v>9</v>
      </c>
      <c r="B10" s="2">
        <f>IF(A10&lt;=Параметры!$B$21,G9,0)</f>
        <v>76978442.714126438</v>
      </c>
      <c r="C10" s="3">
        <f>Параметры!B17/12</f>
        <v>1.2499999999999999E-2</v>
      </c>
      <c r="D10" s="2">
        <f>IF(A10&lt;=Параметры!$B$21,PMT(Параметры!B17/12,Параметры!B21,-Параметры!B19),0)</f>
        <v>2022144.0573404925</v>
      </c>
      <c r="E10" s="2">
        <f t="shared" si="0"/>
        <v>962230.53392658045</v>
      </c>
      <c r="F10" s="2">
        <f t="shared" si="1"/>
        <v>1059913.5234139119</v>
      </c>
      <c r="G10" s="2">
        <f>IF(A10&lt;=Параметры!$B$21,B10-F10,0)</f>
        <v>75918529.190712526</v>
      </c>
    </row>
    <row r="11" spans="1:7" x14ac:dyDescent="0.25">
      <c r="A11">
        <f t="shared" si="2"/>
        <v>10</v>
      </c>
      <c r="B11" s="2">
        <f>IF(A11&lt;=Параметры!$B$21,G10,0)</f>
        <v>75918529.190712526</v>
      </c>
      <c r="C11" s="3">
        <f>Параметры!B17/12</f>
        <v>1.2499999999999999E-2</v>
      </c>
      <c r="D11" s="2">
        <f>IF(A11&lt;=Параметры!$B$21,PMT(Параметры!B17/12,Параметры!B21,-Параметры!B19),0)</f>
        <v>2022144.0573404925</v>
      </c>
      <c r="E11" s="2">
        <f t="shared" si="0"/>
        <v>948981.61488390656</v>
      </c>
      <c r="F11" s="2">
        <f t="shared" si="1"/>
        <v>1073162.4424565858</v>
      </c>
      <c r="G11" s="2">
        <f>IF(A11&lt;=Параметры!$B$21,B11-F11,0)</f>
        <v>74845366.748255938</v>
      </c>
    </row>
    <row r="12" spans="1:7" x14ac:dyDescent="0.25">
      <c r="A12">
        <f t="shared" si="2"/>
        <v>11</v>
      </c>
      <c r="B12" s="2">
        <f>IF(A12&lt;=Параметры!$B$21,G11,0)</f>
        <v>74845366.748255938</v>
      </c>
      <c r="C12" s="3">
        <f>Параметры!B17/12</f>
        <v>1.2499999999999999E-2</v>
      </c>
      <c r="D12" s="2">
        <f>IF(A12&lt;=Параметры!$B$21,PMT(Параметры!B17/12,Параметры!B21,-Параметры!B19),0)</f>
        <v>2022144.0573404925</v>
      </c>
      <c r="E12" s="2">
        <f t="shared" si="0"/>
        <v>935567.08435319911</v>
      </c>
      <c r="F12" s="2">
        <f t="shared" si="1"/>
        <v>1086576.9729872933</v>
      </c>
      <c r="G12" s="2">
        <f>IF(A12&lt;=Параметры!$B$21,B12-F12,0)</f>
        <v>73758789.775268644</v>
      </c>
    </row>
    <row r="13" spans="1:7" x14ac:dyDescent="0.25">
      <c r="A13">
        <f t="shared" si="2"/>
        <v>12</v>
      </c>
      <c r="B13" s="2">
        <f>IF(A13&lt;=Параметры!$B$21,G12,0)</f>
        <v>73758789.775268644</v>
      </c>
      <c r="C13" s="3">
        <f>Параметры!B17/12</f>
        <v>1.2499999999999999E-2</v>
      </c>
      <c r="D13" s="2">
        <f>IF(A13&lt;=Параметры!$B$21,PMT(Параметры!B17/12,Параметры!B21,-Параметры!B19),0)</f>
        <v>2022144.0573404925</v>
      </c>
      <c r="E13" s="2">
        <f t="shared" si="0"/>
        <v>921984.872190858</v>
      </c>
      <c r="F13" s="2">
        <f t="shared" si="1"/>
        <v>1100159.1851496345</v>
      </c>
      <c r="G13" s="2">
        <f>IF(A13&lt;=Параметры!$B$21,B13-F13,0)</f>
        <v>72658630.590119004</v>
      </c>
    </row>
    <row r="14" spans="1:7" x14ac:dyDescent="0.25">
      <c r="A14">
        <f t="shared" si="2"/>
        <v>13</v>
      </c>
      <c r="B14" s="2">
        <f>IF(A14&lt;=Параметры!$B$21,G13,0)</f>
        <v>72658630.590119004</v>
      </c>
      <c r="C14" s="3">
        <f>Параметры!B17/12</f>
        <v>1.2499999999999999E-2</v>
      </c>
      <c r="D14" s="2">
        <f>IF(A14&lt;=Параметры!$B$21,PMT(Параметры!B17/12,Параметры!B21,-Параметры!B19),0)</f>
        <v>2022144.0573404925</v>
      </c>
      <c r="E14" s="2">
        <f t="shared" si="0"/>
        <v>908232.88237648748</v>
      </c>
      <c r="F14" s="2">
        <f t="shared" si="1"/>
        <v>1113911.1749640051</v>
      </c>
      <c r="G14" s="2">
        <f>IF(A14&lt;=Параметры!$B$21,B14-F14,0)</f>
        <v>71544719.415154994</v>
      </c>
    </row>
    <row r="15" spans="1:7" x14ac:dyDescent="0.25">
      <c r="A15">
        <f t="shared" si="2"/>
        <v>14</v>
      </c>
      <c r="B15" s="2">
        <f>IF(A15&lt;=Параметры!$B$21,G14,0)</f>
        <v>71544719.415154994</v>
      </c>
      <c r="C15" s="3">
        <f>Параметры!B17/12</f>
        <v>1.2499999999999999E-2</v>
      </c>
      <c r="D15" s="2">
        <f>IF(A15&lt;=Параметры!$B$21,PMT(Параметры!B17/12,Параметры!B21,-Параметры!B19),0)</f>
        <v>2022144.0573404925</v>
      </c>
      <c r="E15" s="2">
        <f t="shared" si="0"/>
        <v>894308.99268943735</v>
      </c>
      <c r="F15" s="2">
        <f t="shared" si="1"/>
        <v>1127835.0646510553</v>
      </c>
      <c r="G15" s="2">
        <f>IF(A15&lt;=Параметры!$B$21,B15-F15,0)</f>
        <v>70416884.350503936</v>
      </c>
    </row>
    <row r="16" spans="1:7" x14ac:dyDescent="0.25">
      <c r="A16">
        <f t="shared" si="2"/>
        <v>15</v>
      </c>
      <c r="B16" s="2">
        <f>IF(A16&lt;=Параметры!$B$21,G15,0)</f>
        <v>70416884.350503936</v>
      </c>
      <c r="C16" s="3">
        <f>Параметры!B17/12</f>
        <v>1.2499999999999999E-2</v>
      </c>
      <c r="D16" s="2">
        <f>IF(A16&lt;=Параметры!$B$21,PMT(Параметры!B17/12,Параметры!B21,-Параметры!B19),0)</f>
        <v>2022144.0573404925</v>
      </c>
      <c r="E16" s="2">
        <f t="shared" si="0"/>
        <v>880211.05438129918</v>
      </c>
      <c r="F16" s="2">
        <f t="shared" si="1"/>
        <v>1141933.0029591932</v>
      </c>
      <c r="G16" s="2">
        <f>IF(A16&lt;=Параметры!$B$21,B16-F16,0)</f>
        <v>69274951.347544745</v>
      </c>
    </row>
    <row r="17" spans="1:7" x14ac:dyDescent="0.25">
      <c r="A17">
        <f t="shared" si="2"/>
        <v>16</v>
      </c>
      <c r="B17" s="2">
        <f>IF(A17&lt;=Параметры!$B$21,G16,0)</f>
        <v>69274951.347544745</v>
      </c>
      <c r="C17" s="3">
        <f>Параметры!B17/12</f>
        <v>1.2499999999999999E-2</v>
      </c>
      <c r="D17" s="2">
        <f>IF(A17&lt;=Параметры!$B$21,PMT(Параметры!B17/12,Параметры!B21,-Параметры!B19),0)</f>
        <v>2022144.0573404925</v>
      </c>
      <c r="E17" s="2">
        <f t="shared" si="0"/>
        <v>865936.89184430928</v>
      </c>
      <c r="F17" s="2">
        <f t="shared" si="1"/>
        <v>1156207.1654961831</v>
      </c>
      <c r="G17" s="2">
        <f>IF(A17&lt;=Параметры!$B$21,B17-F17,0)</f>
        <v>68118744.182048559</v>
      </c>
    </row>
    <row r="18" spans="1:7" x14ac:dyDescent="0.25">
      <c r="A18">
        <f t="shared" si="2"/>
        <v>17</v>
      </c>
      <c r="B18" s="2">
        <f>IF(A18&lt;=Параметры!$B$21,G17,0)</f>
        <v>68118744.182048559</v>
      </c>
      <c r="C18" s="3">
        <f>Параметры!B17/12</f>
        <v>1.2499999999999999E-2</v>
      </c>
      <c r="D18" s="2">
        <f>IF(A18&lt;=Параметры!$B$21,PMT(Параметры!B17/12,Параметры!B21,-Параметры!B19),0)</f>
        <v>2022144.0573404925</v>
      </c>
      <c r="E18" s="2">
        <f t="shared" si="0"/>
        <v>851484.3022756069</v>
      </c>
      <c r="F18" s="2">
        <f t="shared" si="1"/>
        <v>1170659.7550648856</v>
      </c>
      <c r="G18" s="2">
        <f>IF(A18&lt;=Параметры!$B$21,B18-F18,0)</f>
        <v>66948084.426983677</v>
      </c>
    </row>
    <row r="19" spans="1:7" x14ac:dyDescent="0.25">
      <c r="A19">
        <f t="shared" si="2"/>
        <v>18</v>
      </c>
      <c r="B19" s="2">
        <f>IF(A19&lt;=Параметры!$B$21,G18,0)</f>
        <v>66948084.426983677</v>
      </c>
      <c r="C19" s="3">
        <f>Параметры!B17/12</f>
        <v>1.2499999999999999E-2</v>
      </c>
      <c r="D19" s="2">
        <f>IF(A19&lt;=Параметры!$B$21,PMT(Параметры!B17/12,Параметры!B21,-Параметры!B19),0)</f>
        <v>2022144.0573404925</v>
      </c>
      <c r="E19" s="2">
        <f t="shared" si="0"/>
        <v>836851.05533729587</v>
      </c>
      <c r="F19" s="2">
        <f t="shared" si="1"/>
        <v>1185293.0020031966</v>
      </c>
      <c r="G19" s="2">
        <f>IF(A19&lt;=Параметры!$B$21,B19-F19,0)</f>
        <v>65762791.424980476</v>
      </c>
    </row>
    <row r="20" spans="1:7" x14ac:dyDescent="0.25">
      <c r="A20">
        <f t="shared" si="2"/>
        <v>19</v>
      </c>
      <c r="B20" s="2">
        <f>IF(A20&lt;=Параметры!$B$21,G19,0)</f>
        <v>65762791.424980476</v>
      </c>
      <c r="C20" s="3">
        <f>Параметры!B17/12</f>
        <v>1.2499999999999999E-2</v>
      </c>
      <c r="D20" s="2">
        <f>IF(A20&lt;=Параметры!$B$21,PMT(Параметры!B17/12,Параметры!B21,-Параметры!B19),0)</f>
        <v>2022144.0573404925</v>
      </c>
      <c r="E20" s="2">
        <f t="shared" si="0"/>
        <v>822034.89281225589</v>
      </c>
      <c r="F20" s="2">
        <f t="shared" si="1"/>
        <v>1200109.1645282367</v>
      </c>
      <c r="G20" s="2">
        <f>IF(A20&lt;=Параметры!$B$21,B20-F20,0)</f>
        <v>64562682.260452241</v>
      </c>
    </row>
    <row r="21" spans="1:7" x14ac:dyDescent="0.25">
      <c r="A21">
        <f t="shared" si="2"/>
        <v>20</v>
      </c>
      <c r="B21" s="2">
        <f>IF(A21&lt;=Параметры!$B$21,G20,0)</f>
        <v>64562682.260452241</v>
      </c>
      <c r="C21" s="3">
        <f>Параметры!B17/12</f>
        <v>1.2499999999999999E-2</v>
      </c>
      <c r="D21" s="2">
        <f>IF(A21&lt;=Параметры!$B$21,PMT(Параметры!B17/12,Параметры!B21,-Параметры!B19),0)</f>
        <v>2022144.0573404925</v>
      </c>
      <c r="E21" s="2">
        <f t="shared" si="0"/>
        <v>807033.52825565299</v>
      </c>
      <c r="F21" s="2">
        <f t="shared" si="1"/>
        <v>1215110.5290848394</v>
      </c>
      <c r="G21" s="2">
        <f>IF(A21&lt;=Параметры!$B$21,B21-F21,0)</f>
        <v>63347571.731367402</v>
      </c>
    </row>
    <row r="22" spans="1:7" x14ac:dyDescent="0.25">
      <c r="A22">
        <f t="shared" si="2"/>
        <v>21</v>
      </c>
      <c r="B22" s="2">
        <f>IF(A22&lt;=Параметры!$B$21,G21,0)</f>
        <v>63347571.731367402</v>
      </c>
      <c r="C22" s="3">
        <f>Параметры!B17/12</f>
        <v>1.2499999999999999E-2</v>
      </c>
      <c r="D22" s="2">
        <f>IF(A22&lt;=Параметры!$B$21,PMT(Параметры!B17/12,Параметры!B21,-Параметры!B19),0)</f>
        <v>2022144.0573404925</v>
      </c>
      <c r="E22" s="2">
        <f t="shared" si="0"/>
        <v>791844.6466420925</v>
      </c>
      <c r="F22" s="2">
        <f t="shared" si="1"/>
        <v>1230299.4106983999</v>
      </c>
      <c r="G22" s="2">
        <f>IF(A22&lt;=Параметры!$B$21,B22-F22,0)</f>
        <v>62117272.320669003</v>
      </c>
    </row>
    <row r="23" spans="1:7" x14ac:dyDescent="0.25">
      <c r="A23">
        <f t="shared" si="2"/>
        <v>22</v>
      </c>
      <c r="B23" s="2">
        <f>IF(A23&lt;=Параметры!$B$21,G22,0)</f>
        <v>62117272.320669003</v>
      </c>
      <c r="C23" s="3">
        <f>Параметры!B17/12</f>
        <v>1.2499999999999999E-2</v>
      </c>
      <c r="D23" s="2">
        <f>IF(A23&lt;=Параметры!$B$21,PMT(Параметры!B17/12,Параметры!B21,-Параметры!B19),0)</f>
        <v>2022144.0573404925</v>
      </c>
      <c r="E23" s="2">
        <f t="shared" si="0"/>
        <v>776465.90400836244</v>
      </c>
      <c r="F23" s="2">
        <f t="shared" si="1"/>
        <v>1245678.1533321301</v>
      </c>
      <c r="G23" s="2">
        <f>IF(A23&lt;=Параметры!$B$21,B23-F23,0)</f>
        <v>60871594.167336874</v>
      </c>
    </row>
    <row r="24" spans="1:7" x14ac:dyDescent="0.25">
      <c r="A24">
        <f t="shared" si="2"/>
        <v>23</v>
      </c>
      <c r="B24" s="2">
        <f>IF(A24&lt;=Параметры!$B$21,G23,0)</f>
        <v>60871594.167336874</v>
      </c>
      <c r="C24" s="3">
        <f>Параметры!B17/12</f>
        <v>1.2499999999999999E-2</v>
      </c>
      <c r="D24" s="2">
        <f>IF(A24&lt;=Параметры!$B$21,PMT(Параметры!B17/12,Параметры!B21,-Параметры!B19),0)</f>
        <v>2022144.0573404925</v>
      </c>
      <c r="E24" s="2">
        <f t="shared" si="0"/>
        <v>760894.92709171085</v>
      </c>
      <c r="F24" s="2">
        <f t="shared" si="1"/>
        <v>1261249.1302487818</v>
      </c>
      <c r="G24" s="2">
        <f>IF(A24&lt;=Параметры!$B$21,B24-F24,0)</f>
        <v>59610345.037088089</v>
      </c>
    </row>
    <row r="25" spans="1:7" x14ac:dyDescent="0.25">
      <c r="A25">
        <f t="shared" si="2"/>
        <v>24</v>
      </c>
      <c r="B25" s="2">
        <f>IF(A25&lt;=Параметры!$B$21,G24,0)</f>
        <v>59610345.037088089</v>
      </c>
      <c r="C25" s="3">
        <f>Параметры!B17/12</f>
        <v>1.2499999999999999E-2</v>
      </c>
      <c r="D25" s="2">
        <f>IF(A25&lt;=Параметры!$B$21,PMT(Параметры!B17/12,Параметры!B21,-Параметры!B19),0)</f>
        <v>2022144.0573404925</v>
      </c>
      <c r="E25" s="2">
        <f t="shared" si="0"/>
        <v>745129.31296360109</v>
      </c>
      <c r="F25" s="2">
        <f t="shared" si="1"/>
        <v>1277014.7443768913</v>
      </c>
      <c r="G25" s="2">
        <f>IF(A25&lt;=Параметры!$B$21,B25-F25,0)</f>
        <v>58333330.292711198</v>
      </c>
    </row>
    <row r="26" spans="1:7" x14ac:dyDescent="0.25">
      <c r="A26">
        <f t="shared" si="2"/>
        <v>25</v>
      </c>
      <c r="B26" s="2">
        <f>IF(A26&lt;=Параметры!$B$21,G25,0)</f>
        <v>58333330.292711198</v>
      </c>
      <c r="C26" s="3">
        <f>Параметры!B17/12</f>
        <v>1.2499999999999999E-2</v>
      </c>
      <c r="D26" s="2">
        <f>IF(A26&lt;=Параметры!$B$21,PMT(Параметры!B17/12,Параметры!B21,-Параметры!B19),0)</f>
        <v>2022144.0573404925</v>
      </c>
      <c r="E26" s="2">
        <f t="shared" si="0"/>
        <v>729166.62865888991</v>
      </c>
      <c r="F26" s="2">
        <f t="shared" si="1"/>
        <v>1292977.4286816027</v>
      </c>
      <c r="G26" s="2">
        <f>IF(A26&lt;=Параметры!$B$21,B26-F26,0)</f>
        <v>57040352.864029594</v>
      </c>
    </row>
    <row r="27" spans="1:7" x14ac:dyDescent="0.25">
      <c r="A27">
        <f t="shared" si="2"/>
        <v>26</v>
      </c>
      <c r="B27" s="2">
        <f>IF(A27&lt;=Параметры!$B$21,G26,0)</f>
        <v>57040352.864029594</v>
      </c>
      <c r="C27" s="3">
        <f>Параметры!B17/12</f>
        <v>1.2499999999999999E-2</v>
      </c>
      <c r="D27" s="2">
        <f>IF(A27&lt;=Параметры!$B$21,PMT(Параметры!B17/12,Параметры!B21,-Параметры!B19),0)</f>
        <v>2022144.0573404925</v>
      </c>
      <c r="E27" s="2">
        <f t="shared" si="0"/>
        <v>713004.41080036981</v>
      </c>
      <c r="F27" s="2">
        <f t="shared" si="1"/>
        <v>1309139.6465401226</v>
      </c>
      <c r="G27" s="2">
        <f>IF(A27&lt;=Параметры!$B$21,B27-F27,0)</f>
        <v>55731213.217489474</v>
      </c>
    </row>
    <row r="28" spans="1:7" x14ac:dyDescent="0.25">
      <c r="A28">
        <f t="shared" si="2"/>
        <v>27</v>
      </c>
      <c r="B28" s="2">
        <f>IF(A28&lt;=Параметры!$B$21,G27,0)</f>
        <v>55731213.217489474</v>
      </c>
      <c r="C28" s="3">
        <f>Параметры!B17/12</f>
        <v>1.2499999999999999E-2</v>
      </c>
      <c r="D28" s="2">
        <f>IF(A28&lt;=Параметры!$B$21,PMT(Параметры!B17/12,Параметры!B21,-Параметры!B19),0)</f>
        <v>2022144.0573404925</v>
      </c>
      <c r="E28" s="2">
        <f t="shared" si="0"/>
        <v>696640.16521861835</v>
      </c>
      <c r="F28" s="2">
        <f t="shared" si="1"/>
        <v>1325503.8921218743</v>
      </c>
      <c r="G28" s="2">
        <f>IF(A28&lt;=Параметры!$B$21,B28-F28,0)</f>
        <v>54405709.3253676</v>
      </c>
    </row>
    <row r="29" spans="1:7" x14ac:dyDescent="0.25">
      <c r="A29">
        <f t="shared" si="2"/>
        <v>28</v>
      </c>
      <c r="B29" s="2">
        <f>IF(A29&lt;=Параметры!$B$21,G28,0)</f>
        <v>54405709.3253676</v>
      </c>
      <c r="C29" s="3">
        <f>Параметры!B17/12</f>
        <v>1.2499999999999999E-2</v>
      </c>
      <c r="D29" s="2">
        <f>IF(A29&lt;=Параметры!$B$21,PMT(Параметры!B17/12,Параметры!B21,-Параметры!B19),0)</f>
        <v>2022144.0573404925</v>
      </c>
      <c r="E29" s="2">
        <f t="shared" si="0"/>
        <v>680071.36656709493</v>
      </c>
      <c r="F29" s="2">
        <f t="shared" si="1"/>
        <v>1342072.6907733977</v>
      </c>
      <c r="G29" s="2">
        <f>IF(A29&lt;=Параметры!$B$21,B29-F29,0)</f>
        <v>53063636.634594202</v>
      </c>
    </row>
    <row r="30" spans="1:7" x14ac:dyDescent="0.25">
      <c r="A30">
        <f t="shared" si="2"/>
        <v>29</v>
      </c>
      <c r="B30" s="2">
        <f>IF(A30&lt;=Параметры!$B$21,G29,0)</f>
        <v>53063636.634594202</v>
      </c>
      <c r="C30" s="3">
        <f>Параметры!B17/12</f>
        <v>1.2499999999999999E-2</v>
      </c>
      <c r="D30" s="2">
        <f>IF(A30&lt;=Параметры!$B$21,PMT(Параметры!B17/12,Параметры!B21,-Параметры!B19),0)</f>
        <v>2022144.0573404925</v>
      </c>
      <c r="E30" s="2">
        <f t="shared" si="0"/>
        <v>663295.45793242753</v>
      </c>
      <c r="F30" s="2">
        <f t="shared" si="1"/>
        <v>1358848.599408065</v>
      </c>
      <c r="G30" s="2">
        <f>IF(A30&lt;=Параметры!$B$21,B30-F30,0)</f>
        <v>51704788.035186134</v>
      </c>
    </row>
    <row r="31" spans="1:7" x14ac:dyDescent="0.25">
      <c r="A31">
        <f t="shared" si="2"/>
        <v>30</v>
      </c>
      <c r="B31" s="2">
        <f>IF(A31&lt;=Параметры!$B$21,G30,0)</f>
        <v>51704788.035186134</v>
      </c>
      <c r="C31" s="3">
        <f>Параметры!B17/12</f>
        <v>1.2499999999999999E-2</v>
      </c>
      <c r="D31" s="2">
        <f>IF(A31&lt;=Параметры!$B$21,PMT(Параметры!B17/12,Параметры!B21,-Параметры!B19),0)</f>
        <v>2022144.0573404925</v>
      </c>
      <c r="E31" s="2">
        <f t="shared" si="0"/>
        <v>646309.85043982661</v>
      </c>
      <c r="F31" s="2">
        <f t="shared" si="1"/>
        <v>1375834.206900666</v>
      </c>
      <c r="G31" s="2">
        <f>IF(A31&lt;=Параметры!$B$21,B31-F31,0)</f>
        <v>50328953.828285471</v>
      </c>
    </row>
    <row r="32" spans="1:7" x14ac:dyDescent="0.25">
      <c r="A32">
        <f t="shared" si="2"/>
        <v>31</v>
      </c>
      <c r="B32" s="2">
        <f>IF(A32&lt;=Параметры!$B$21,G31,0)</f>
        <v>50328953.828285471</v>
      </c>
      <c r="C32" s="3">
        <f>Параметры!B17/12</f>
        <v>1.2499999999999999E-2</v>
      </c>
      <c r="D32" s="2">
        <f>IF(A32&lt;=Параметры!$B$21,PMT(Параметры!B17/12,Параметры!B21,-Параметры!B19),0)</f>
        <v>2022144.0573404925</v>
      </c>
      <c r="E32" s="2">
        <f t="shared" si="0"/>
        <v>629111.92285356834</v>
      </c>
      <c r="F32" s="2">
        <f t="shared" si="1"/>
        <v>1393032.1344869242</v>
      </c>
      <c r="G32" s="2">
        <f>IF(A32&lt;=Параметры!$B$21,B32-F32,0)</f>
        <v>48935921.693798549</v>
      </c>
    </row>
    <row r="33" spans="1:7" x14ac:dyDescent="0.25">
      <c r="A33">
        <f t="shared" si="2"/>
        <v>32</v>
      </c>
      <c r="B33" s="2">
        <f>IF(A33&lt;=Параметры!$B$21,G32,0)</f>
        <v>48935921.693798549</v>
      </c>
      <c r="C33" s="3">
        <f>Параметры!B17/12</f>
        <v>1.2499999999999999E-2</v>
      </c>
      <c r="D33" s="2">
        <f>IF(A33&lt;=Параметры!$B$21,PMT(Параметры!B17/12,Параметры!B21,-Параметры!B19),0)</f>
        <v>2022144.0573404925</v>
      </c>
      <c r="E33" s="2">
        <f t="shared" si="0"/>
        <v>611699.02117248182</v>
      </c>
      <c r="F33" s="2">
        <f t="shared" si="1"/>
        <v>1410445.0361680107</v>
      </c>
      <c r="G33" s="2">
        <f>IF(A33&lt;=Параметры!$B$21,B33-F33,0)</f>
        <v>47525476.65763054</v>
      </c>
    </row>
    <row r="34" spans="1:7" x14ac:dyDescent="0.25">
      <c r="A34">
        <f t="shared" si="2"/>
        <v>33</v>
      </c>
      <c r="B34" s="2">
        <f>IF(A34&lt;=Параметры!$B$21,G33,0)</f>
        <v>47525476.65763054</v>
      </c>
      <c r="C34" s="3">
        <f>Параметры!B17/12</f>
        <v>1.2499999999999999E-2</v>
      </c>
      <c r="D34" s="2">
        <f>IF(A34&lt;=Параметры!$B$21,PMT(Параметры!B17/12,Параметры!B21,-Параметры!B19),0)</f>
        <v>2022144.0573404925</v>
      </c>
      <c r="E34" s="2">
        <f t="shared" ref="E34:E62" si="3">B34*C34</f>
        <v>594068.45822038176</v>
      </c>
      <c r="F34" s="2">
        <f t="shared" ref="F34:F62" si="4">D34-E34</f>
        <v>1428075.5991201107</v>
      </c>
      <c r="G34" s="2">
        <f>IF(A34&lt;=Параметры!$B$21,B34-F34,0)</f>
        <v>46097401.05851043</v>
      </c>
    </row>
    <row r="35" spans="1:7" x14ac:dyDescent="0.25">
      <c r="A35">
        <f t="shared" ref="A35:A62" si="5">A34+1</f>
        <v>34</v>
      </c>
      <c r="B35" s="2">
        <f>IF(A35&lt;=Параметры!$B$21,G34,0)</f>
        <v>46097401.05851043</v>
      </c>
      <c r="C35" s="3">
        <f>Параметры!B17/12</f>
        <v>1.2499999999999999E-2</v>
      </c>
      <c r="D35" s="2">
        <f>IF(A35&lt;=Параметры!$B$21,PMT(Параметры!B17/12,Параметры!B21,-Параметры!B19),0)</f>
        <v>2022144.0573404925</v>
      </c>
      <c r="E35" s="2">
        <f t="shared" si="3"/>
        <v>576217.51323138038</v>
      </c>
      <c r="F35" s="2">
        <f t="shared" si="4"/>
        <v>1445926.5441091121</v>
      </c>
      <c r="G35" s="2">
        <f>IF(A35&lt;=Параметры!$B$21,B35-F35,0)</f>
        <v>44651474.514401317</v>
      </c>
    </row>
    <row r="36" spans="1:7" x14ac:dyDescent="0.25">
      <c r="A36">
        <f t="shared" si="5"/>
        <v>35</v>
      </c>
      <c r="B36" s="2">
        <f>IF(A36&lt;=Параметры!$B$21,G35,0)</f>
        <v>44651474.514401317</v>
      </c>
      <c r="C36" s="3">
        <f>Параметры!B17/12</f>
        <v>1.2499999999999999E-2</v>
      </c>
      <c r="D36" s="2">
        <f>IF(A36&lt;=Параметры!$B$21,PMT(Параметры!B17/12,Параметры!B21,-Параметры!B19),0)</f>
        <v>2022144.0573404925</v>
      </c>
      <c r="E36" s="2">
        <f t="shared" si="3"/>
        <v>558143.43143001641</v>
      </c>
      <c r="F36" s="2">
        <f t="shared" si="4"/>
        <v>1464000.6259104761</v>
      </c>
      <c r="G36" s="2">
        <f>IF(A36&lt;=Параметры!$B$21,B36-F36,0)</f>
        <v>43187473.888490841</v>
      </c>
    </row>
    <row r="37" spans="1:7" x14ac:dyDescent="0.25">
      <c r="A37">
        <f t="shared" si="5"/>
        <v>36</v>
      </c>
      <c r="B37" s="2">
        <f>IF(A37&lt;=Параметры!$B$21,G36,0)</f>
        <v>43187473.888490841</v>
      </c>
      <c r="C37" s="3">
        <f>Параметры!B17/12</f>
        <v>1.2499999999999999E-2</v>
      </c>
      <c r="D37" s="2">
        <f>IF(A37&lt;=Параметры!$B$21,PMT(Параметры!B17/12,Параметры!B21,-Параметры!B19),0)</f>
        <v>2022144.0573404925</v>
      </c>
      <c r="E37" s="2">
        <f t="shared" si="3"/>
        <v>539843.42360613542</v>
      </c>
      <c r="F37" s="2">
        <f t="shared" si="4"/>
        <v>1482300.6337343571</v>
      </c>
      <c r="G37" s="2">
        <f>IF(A37&lt;=Параметры!$B$21,B37-F37,0)</f>
        <v>41705173.25475648</v>
      </c>
    </row>
    <row r="38" spans="1:7" x14ac:dyDescent="0.25">
      <c r="A38">
        <f t="shared" si="5"/>
        <v>37</v>
      </c>
      <c r="B38" s="2">
        <f>IF(A38&lt;=Параметры!$B$21,G37,0)</f>
        <v>41705173.25475648</v>
      </c>
      <c r="C38" s="3">
        <f>Параметры!B17/12</f>
        <v>1.2499999999999999E-2</v>
      </c>
      <c r="D38" s="2">
        <f>IF(A38&lt;=Параметры!$B$21,PMT(Параметры!B17/12,Параметры!B21,-Параметры!B19),0)</f>
        <v>2022144.0573404925</v>
      </c>
      <c r="E38" s="2">
        <f t="shared" si="3"/>
        <v>521314.66568445595</v>
      </c>
      <c r="F38" s="2">
        <f t="shared" si="4"/>
        <v>1500829.3916560365</v>
      </c>
      <c r="G38" s="2">
        <f>IF(A38&lt;=Параметры!$B$21,B38-F38,0)</f>
        <v>40204343.863100447</v>
      </c>
    </row>
    <row r="39" spans="1:7" x14ac:dyDescent="0.25">
      <c r="A39">
        <f t="shared" si="5"/>
        <v>38</v>
      </c>
      <c r="B39" s="2">
        <f>IF(A39&lt;=Параметры!$B$21,G38,0)</f>
        <v>40204343.863100447</v>
      </c>
      <c r="C39" s="3">
        <f>Параметры!B17/12</f>
        <v>1.2499999999999999E-2</v>
      </c>
      <c r="D39" s="2">
        <f>IF(A39&lt;=Параметры!$B$21,PMT(Параметры!B17/12,Параметры!B21,-Параметры!B19),0)</f>
        <v>2022144.0573404925</v>
      </c>
      <c r="E39" s="2">
        <f t="shared" si="3"/>
        <v>502554.29828875553</v>
      </c>
      <c r="F39" s="2">
        <f t="shared" si="4"/>
        <v>1519589.7590517369</v>
      </c>
      <c r="G39" s="2">
        <f>IF(A39&lt;=Параметры!$B$21,B39-F39,0)</f>
        <v>38684754.104048707</v>
      </c>
    </row>
    <row r="40" spans="1:7" x14ac:dyDescent="0.25">
      <c r="A40">
        <f t="shared" si="5"/>
        <v>39</v>
      </c>
      <c r="B40" s="2">
        <f>IF(A40&lt;=Параметры!$B$21,G39,0)</f>
        <v>38684754.104048707</v>
      </c>
      <c r="C40" s="3">
        <f>Параметры!B17/12</f>
        <v>1.2499999999999999E-2</v>
      </c>
      <c r="D40" s="2">
        <f>IF(A40&lt;=Параметры!$B$21,PMT(Параметры!B17/12,Параметры!B21,-Параметры!B19),0)</f>
        <v>2022144.0573404925</v>
      </c>
      <c r="E40" s="2">
        <f t="shared" si="3"/>
        <v>483559.42630060879</v>
      </c>
      <c r="F40" s="2">
        <f t="shared" si="4"/>
        <v>1538584.6310398837</v>
      </c>
      <c r="G40" s="2">
        <f>IF(A40&lt;=Параметры!$B$21,B40-F40,0)</f>
        <v>37146169.473008826</v>
      </c>
    </row>
    <row r="41" spans="1:7" x14ac:dyDescent="0.25">
      <c r="A41">
        <f t="shared" si="5"/>
        <v>40</v>
      </c>
      <c r="B41" s="2">
        <f>IF(A41&lt;=Параметры!$B$21,G40,0)</f>
        <v>37146169.473008826</v>
      </c>
      <c r="C41" s="3">
        <f>Параметры!B17/12</f>
        <v>1.2499999999999999E-2</v>
      </c>
      <c r="D41" s="2">
        <f>IF(A41&lt;=Параметры!$B$21,PMT(Параметры!B17/12,Параметры!B21,-Параметры!B19),0)</f>
        <v>2022144.0573404925</v>
      </c>
      <c r="E41" s="2">
        <f t="shared" si="3"/>
        <v>464327.11841261032</v>
      </c>
      <c r="F41" s="2">
        <f t="shared" si="4"/>
        <v>1557816.9389278821</v>
      </c>
      <c r="G41" s="2">
        <f>IF(A41&lt;=Параметры!$B$21,B41-F41,0)</f>
        <v>35588352.534080945</v>
      </c>
    </row>
    <row r="42" spans="1:7" x14ac:dyDescent="0.25">
      <c r="A42">
        <f t="shared" si="5"/>
        <v>41</v>
      </c>
      <c r="B42" s="2">
        <f>IF(A42&lt;=Параметры!$B$21,G41,0)</f>
        <v>35588352.534080945</v>
      </c>
      <c r="C42" s="3">
        <f>Параметры!B17/12</f>
        <v>1.2499999999999999E-2</v>
      </c>
      <c r="D42" s="2">
        <f>IF(A42&lt;=Параметры!$B$21,PMT(Параметры!B17/12,Параметры!B21,-Параметры!B19),0)</f>
        <v>2022144.0573404925</v>
      </c>
      <c r="E42" s="2">
        <f t="shared" si="3"/>
        <v>444854.4066760118</v>
      </c>
      <c r="F42" s="2">
        <f t="shared" si="4"/>
        <v>1577289.6506644806</v>
      </c>
      <c r="G42" s="2">
        <f>IF(A42&lt;=Параметры!$B$21,B42-F42,0)</f>
        <v>34011062.883416466</v>
      </c>
    </row>
    <row r="43" spans="1:7" x14ac:dyDescent="0.25">
      <c r="A43">
        <f t="shared" si="5"/>
        <v>42</v>
      </c>
      <c r="B43" s="2">
        <f>IF(A43&lt;=Параметры!$B$21,G42,0)</f>
        <v>34011062.883416466</v>
      </c>
      <c r="C43" s="3">
        <f>Параметры!B17/12</f>
        <v>1.2499999999999999E-2</v>
      </c>
      <c r="D43" s="2">
        <f>IF(A43&lt;=Параметры!$B$21,PMT(Параметры!B17/12,Параметры!B21,-Параметры!B19),0)</f>
        <v>2022144.0573404925</v>
      </c>
      <c r="E43" s="2">
        <f t="shared" si="3"/>
        <v>425138.28604270582</v>
      </c>
      <c r="F43" s="2">
        <f t="shared" si="4"/>
        <v>1597005.7712977866</v>
      </c>
      <c r="G43" s="2">
        <f>IF(A43&lt;=Параметры!$B$21,B43-F43,0)</f>
        <v>32414057.11211868</v>
      </c>
    </row>
    <row r="44" spans="1:7" x14ac:dyDescent="0.25">
      <c r="A44">
        <f t="shared" si="5"/>
        <v>43</v>
      </c>
      <c r="B44" s="2">
        <f>IF(A44&lt;=Параметры!$B$21,G43,0)</f>
        <v>32414057.11211868</v>
      </c>
      <c r="C44" s="3">
        <f>Параметры!B17/12</f>
        <v>1.2499999999999999E-2</v>
      </c>
      <c r="D44" s="2">
        <f>IF(A44&lt;=Параметры!$B$21,PMT(Параметры!B17/12,Параметры!B21,-Параметры!B19),0)</f>
        <v>2022144.0573404925</v>
      </c>
      <c r="E44" s="2">
        <f t="shared" si="3"/>
        <v>405175.71390148345</v>
      </c>
      <c r="F44" s="2">
        <f t="shared" si="4"/>
        <v>1616968.343439009</v>
      </c>
      <c r="G44" s="2">
        <f>IF(A44&lt;=Параметры!$B$21,B44-F44,0)</f>
        <v>30797088.768679671</v>
      </c>
    </row>
    <row r="45" spans="1:7" x14ac:dyDescent="0.25">
      <c r="A45">
        <f t="shared" si="5"/>
        <v>44</v>
      </c>
      <c r="B45" s="2">
        <f>IF(A45&lt;=Параметры!$B$21,G44,0)</f>
        <v>30797088.768679671</v>
      </c>
      <c r="C45" s="3">
        <f>Параметры!B17/12</f>
        <v>1.2499999999999999E-2</v>
      </c>
      <c r="D45" s="2">
        <f>IF(A45&lt;=Параметры!$B$21,PMT(Параметры!B17/12,Параметры!B21,-Параметры!B19),0)</f>
        <v>2022144.0573404925</v>
      </c>
      <c r="E45" s="2">
        <f t="shared" si="3"/>
        <v>384963.60960849584</v>
      </c>
      <c r="F45" s="2">
        <f t="shared" si="4"/>
        <v>1637180.4477319967</v>
      </c>
      <c r="G45" s="2">
        <f>IF(A45&lt;=Параметры!$B$21,B45-F45,0)</f>
        <v>29159908.320947673</v>
      </c>
    </row>
    <row r="46" spans="1:7" x14ac:dyDescent="0.25">
      <c r="A46">
        <f t="shared" si="5"/>
        <v>45</v>
      </c>
      <c r="B46" s="2">
        <f>IF(A46&lt;=Параметры!$B$21,G45,0)</f>
        <v>29159908.320947673</v>
      </c>
      <c r="C46" s="3">
        <f>Параметры!B17/12</f>
        <v>1.2499999999999999E-2</v>
      </c>
      <c r="D46" s="2">
        <f>IF(A46&lt;=Параметры!$B$21,PMT(Параметры!B17/12,Параметры!B21,-Параметры!B19),0)</f>
        <v>2022144.0573404925</v>
      </c>
      <c r="E46" s="2">
        <f t="shared" si="3"/>
        <v>364498.85401184589</v>
      </c>
      <c r="F46" s="2">
        <f t="shared" si="4"/>
        <v>1657645.2033286467</v>
      </c>
      <c r="G46" s="2">
        <f>IF(A46&lt;=Параметры!$B$21,B46-F46,0)</f>
        <v>27502263.117619026</v>
      </c>
    </row>
    <row r="47" spans="1:7" x14ac:dyDescent="0.25">
      <c r="A47">
        <f t="shared" si="5"/>
        <v>46</v>
      </c>
      <c r="B47" s="2">
        <f>IF(A47&lt;=Параметры!$B$21,G46,0)</f>
        <v>27502263.117619026</v>
      </c>
      <c r="C47" s="3">
        <f>Параметры!B17/12</f>
        <v>1.2499999999999999E-2</v>
      </c>
      <c r="D47" s="2">
        <f>IF(A47&lt;=Параметры!$B$21,PMT(Параметры!B17/12,Параметры!B21,-Параметры!B19),0)</f>
        <v>2022144.0573404925</v>
      </c>
      <c r="E47" s="2">
        <f t="shared" si="3"/>
        <v>343778.28897023783</v>
      </c>
      <c r="F47" s="2">
        <f t="shared" si="4"/>
        <v>1678365.7683702547</v>
      </c>
      <c r="G47" s="2">
        <f>IF(A47&lt;=Параметры!$B$21,B47-F47,0)</f>
        <v>25823897.349248771</v>
      </c>
    </row>
    <row r="48" spans="1:7" x14ac:dyDescent="0.25">
      <c r="A48">
        <f t="shared" si="5"/>
        <v>47</v>
      </c>
      <c r="B48" s="2">
        <f>IF(A48&lt;=Параметры!$B$21,G47,0)</f>
        <v>25823897.349248771</v>
      </c>
      <c r="C48" s="3">
        <f>Параметры!B17/12</f>
        <v>1.2499999999999999E-2</v>
      </c>
      <c r="D48" s="2">
        <f>IF(A48&lt;=Параметры!$B$21,PMT(Параметры!B17/12,Параметры!B21,-Параметры!B19),0)</f>
        <v>2022144.0573404925</v>
      </c>
      <c r="E48" s="2">
        <f t="shared" si="3"/>
        <v>322798.71686560963</v>
      </c>
      <c r="F48" s="2">
        <f t="shared" si="4"/>
        <v>1699345.3404748829</v>
      </c>
      <c r="G48" s="2">
        <f>IF(A48&lt;=Параметры!$B$21,B48-F48,0)</f>
        <v>24124552.008773889</v>
      </c>
    </row>
    <row r="49" spans="1:7" x14ac:dyDescent="0.25">
      <c r="A49">
        <f t="shared" si="5"/>
        <v>48</v>
      </c>
      <c r="B49" s="2">
        <f>IF(A49&lt;=Параметры!$B$21,G48,0)</f>
        <v>24124552.008773889</v>
      </c>
      <c r="C49" s="3">
        <f>Параметры!B17/12</f>
        <v>1.2499999999999999E-2</v>
      </c>
      <c r="D49" s="2">
        <f>IF(A49&lt;=Параметры!$B$21,PMT(Параметры!B17/12,Параметры!B21,-Параметры!B19),0)</f>
        <v>2022144.0573404925</v>
      </c>
      <c r="E49" s="2">
        <f t="shared" si="3"/>
        <v>301556.90010967362</v>
      </c>
      <c r="F49" s="2">
        <f t="shared" si="4"/>
        <v>1720587.1572308189</v>
      </c>
      <c r="G49" s="2">
        <f>IF(A49&lt;=Параметры!$B$21,B49-F49,0)</f>
        <v>22403964.851543069</v>
      </c>
    </row>
    <row r="50" spans="1:7" x14ac:dyDescent="0.25">
      <c r="A50">
        <f t="shared" si="5"/>
        <v>49</v>
      </c>
      <c r="B50" s="2">
        <f>IF(A50&lt;=Параметры!$B$21,G49,0)</f>
        <v>22403964.851543069</v>
      </c>
      <c r="C50" s="3">
        <f>Параметры!B17/12</f>
        <v>1.2499999999999999E-2</v>
      </c>
      <c r="D50" s="2">
        <f>IF(A50&lt;=Параметры!$B$21,PMT(Параметры!B17/12,Параметры!B21,-Параметры!B19),0)</f>
        <v>2022144.0573404925</v>
      </c>
      <c r="E50" s="2">
        <f t="shared" si="3"/>
        <v>280049.56064428831</v>
      </c>
      <c r="F50" s="2">
        <f t="shared" si="4"/>
        <v>1742094.4966962042</v>
      </c>
      <c r="G50" s="2">
        <f>IF(A50&lt;=Параметры!$B$21,B50-F50,0)</f>
        <v>20661870.354846865</v>
      </c>
    </row>
    <row r="51" spans="1:7" x14ac:dyDescent="0.25">
      <c r="A51">
        <f t="shared" si="5"/>
        <v>50</v>
      </c>
      <c r="B51" s="2">
        <f>IF(A51&lt;=Параметры!$B$21,G50,0)</f>
        <v>20661870.354846865</v>
      </c>
      <c r="C51" s="3">
        <f>Параметры!B17/12</f>
        <v>1.2499999999999999E-2</v>
      </c>
      <c r="D51" s="2">
        <f>IF(A51&lt;=Параметры!$B$21,PMT(Параметры!B17/12,Параметры!B21,-Параметры!B19),0)</f>
        <v>2022144.0573404925</v>
      </c>
      <c r="E51" s="2">
        <f t="shared" si="3"/>
        <v>258273.37943558578</v>
      </c>
      <c r="F51" s="2">
        <f t="shared" si="4"/>
        <v>1763870.6779049067</v>
      </c>
      <c r="G51" s="2">
        <f>IF(A51&lt;=Параметры!$B$21,B51-F51,0)</f>
        <v>18897999.676941957</v>
      </c>
    </row>
    <row r="52" spans="1:7" x14ac:dyDescent="0.25">
      <c r="A52">
        <f t="shared" si="5"/>
        <v>51</v>
      </c>
      <c r="B52" s="2">
        <f>IF(A52&lt;=Параметры!$B$21,G51,0)</f>
        <v>18897999.676941957</v>
      </c>
      <c r="C52" s="3">
        <f>Параметры!B17/12</f>
        <v>1.2499999999999999E-2</v>
      </c>
      <c r="D52" s="2">
        <f>IF(A52&lt;=Параметры!$B$21,PMT(Параметры!B17/12,Параметры!B21,-Параметры!B19),0)</f>
        <v>2022144.0573404925</v>
      </c>
      <c r="E52" s="2">
        <f t="shared" si="3"/>
        <v>236224.99596177446</v>
      </c>
      <c r="F52" s="2">
        <f t="shared" si="4"/>
        <v>1785919.0613787181</v>
      </c>
      <c r="G52" s="2">
        <f>IF(A52&lt;=Параметры!$B$21,B52-F52,0)</f>
        <v>17112080.61556324</v>
      </c>
    </row>
    <row r="53" spans="1:7" x14ac:dyDescent="0.25">
      <c r="A53">
        <f t="shared" si="5"/>
        <v>52</v>
      </c>
      <c r="B53" s="2">
        <f>IF(A53&lt;=Параметры!$B$21,G52,0)</f>
        <v>17112080.61556324</v>
      </c>
      <c r="C53" s="3">
        <f>Параметры!B17/12</f>
        <v>1.2499999999999999E-2</v>
      </c>
      <c r="D53" s="2">
        <f>IF(A53&lt;=Параметры!$B$21,PMT(Параметры!B17/12,Параметры!B21,-Параметры!B19),0)</f>
        <v>2022144.0573404925</v>
      </c>
      <c r="E53" s="2">
        <f t="shared" si="3"/>
        <v>213901.00769454049</v>
      </c>
      <c r="F53" s="2">
        <f t="shared" si="4"/>
        <v>1808243.0496459519</v>
      </c>
      <c r="G53" s="2">
        <f>IF(A53&lt;=Параметры!$B$21,B53-F53,0)</f>
        <v>15303837.565917287</v>
      </c>
    </row>
    <row r="54" spans="1:7" x14ac:dyDescent="0.25">
      <c r="A54">
        <f t="shared" si="5"/>
        <v>53</v>
      </c>
      <c r="B54" s="2">
        <f>IF(A54&lt;=Параметры!$B$21,G53,0)</f>
        <v>15303837.565917287</v>
      </c>
      <c r="C54" s="3">
        <f>Параметры!B17/12</f>
        <v>1.2499999999999999E-2</v>
      </c>
      <c r="D54" s="2">
        <f>IF(A54&lt;=Параметры!$B$21,PMT(Параметры!B17/12,Параметры!B21,-Параметры!B19),0)</f>
        <v>2022144.0573404925</v>
      </c>
      <c r="E54" s="2">
        <f t="shared" si="3"/>
        <v>191297.96957396608</v>
      </c>
      <c r="F54" s="2">
        <f t="shared" si="4"/>
        <v>1830846.0877665265</v>
      </c>
      <c r="G54" s="2">
        <f>IF(A54&lt;=Параметры!$B$21,B54-F54,0)</f>
        <v>13472991.478150761</v>
      </c>
    </row>
    <row r="55" spans="1:7" x14ac:dyDescent="0.25">
      <c r="A55">
        <f t="shared" si="5"/>
        <v>54</v>
      </c>
      <c r="B55" s="2">
        <f>IF(A55&lt;=Параметры!$B$21,G54,0)</f>
        <v>13472991.478150761</v>
      </c>
      <c r="C55" s="3">
        <f>Параметры!B17/12</f>
        <v>1.2499999999999999E-2</v>
      </c>
      <c r="D55" s="2">
        <f>IF(A55&lt;=Параметры!$B$21,PMT(Параметры!B17/12,Параметры!B21,-Параметры!B19),0)</f>
        <v>2022144.0573404925</v>
      </c>
      <c r="E55" s="2">
        <f t="shared" si="3"/>
        <v>168412.39347688449</v>
      </c>
      <c r="F55" s="2">
        <f t="shared" si="4"/>
        <v>1853731.6638636079</v>
      </c>
      <c r="G55" s="2">
        <f>IF(A55&lt;=Параметры!$B$21,B55-F55,0)</f>
        <v>11619259.814287152</v>
      </c>
    </row>
    <row r="56" spans="1:7" x14ac:dyDescent="0.25">
      <c r="A56">
        <f t="shared" si="5"/>
        <v>55</v>
      </c>
      <c r="B56" s="2">
        <f>IF(A56&lt;=Параметры!$B$21,G55,0)</f>
        <v>11619259.814287152</v>
      </c>
      <c r="C56" s="3">
        <f>Параметры!B17/12</f>
        <v>1.2499999999999999E-2</v>
      </c>
      <c r="D56" s="2">
        <f>IF(A56&lt;=Параметры!$B$21,PMT(Параметры!B17/12,Параметры!B21,-Параметры!B19),0)</f>
        <v>2022144.0573404925</v>
      </c>
      <c r="E56" s="2">
        <f t="shared" si="3"/>
        <v>145240.7476785894</v>
      </c>
      <c r="F56" s="2">
        <f t="shared" si="4"/>
        <v>1876903.3096619032</v>
      </c>
      <c r="G56" s="2">
        <f>IF(A56&lt;=Параметры!$B$21,B56-F56,0)</f>
        <v>9742356.5046252497</v>
      </c>
    </row>
    <row r="57" spans="1:7" x14ac:dyDescent="0.25">
      <c r="A57">
        <f t="shared" si="5"/>
        <v>56</v>
      </c>
      <c r="B57" s="2">
        <f>IF(A57&lt;=Параметры!$B$21,G56,0)</f>
        <v>9742356.5046252497</v>
      </c>
      <c r="C57" s="3">
        <f>Параметры!B17/12</f>
        <v>1.2499999999999999E-2</v>
      </c>
      <c r="D57" s="2">
        <f>IF(A57&lt;=Параметры!$B$21,PMT(Параметры!B17/12,Параметры!B21,-Параметры!B19),0)</f>
        <v>2022144.0573404925</v>
      </c>
      <c r="E57" s="2">
        <f t="shared" si="3"/>
        <v>121779.45630781561</v>
      </c>
      <c r="F57" s="2">
        <f t="shared" si="4"/>
        <v>1900364.6010326769</v>
      </c>
      <c r="G57" s="2">
        <f>IF(A57&lt;=Параметры!$B$21,B57-F57,0)</f>
        <v>7841991.9035925725</v>
      </c>
    </row>
    <row r="58" spans="1:7" x14ac:dyDescent="0.25">
      <c r="A58">
        <f t="shared" si="5"/>
        <v>57</v>
      </c>
      <c r="B58" s="2">
        <f>IF(A58&lt;=Параметры!$B$21,G57,0)</f>
        <v>7841991.9035925725</v>
      </c>
      <c r="C58" s="3">
        <f>Параметры!B17/12</f>
        <v>1.2499999999999999E-2</v>
      </c>
      <c r="D58" s="2">
        <f>IF(A58&lt;=Параметры!$B$21,PMT(Параметры!B17/12,Параметры!B21,-Параметры!B19),0)</f>
        <v>2022144.0573404925</v>
      </c>
      <c r="E58" s="2">
        <f t="shared" si="3"/>
        <v>98024.898794907145</v>
      </c>
      <c r="F58" s="2">
        <f t="shared" si="4"/>
        <v>1924119.1585455853</v>
      </c>
      <c r="G58" s="2">
        <f>IF(A58&lt;=Параметры!$B$21,B58-F58,0)</f>
        <v>5917872.7450469872</v>
      </c>
    </row>
    <row r="59" spans="1:7" x14ac:dyDescent="0.25">
      <c r="A59">
        <f t="shared" si="5"/>
        <v>58</v>
      </c>
      <c r="B59" s="2">
        <f>IF(A59&lt;=Параметры!$B$21,G58,0)</f>
        <v>5917872.7450469872</v>
      </c>
      <c r="C59" s="3">
        <f>Параметры!B17/12</f>
        <v>1.2499999999999999E-2</v>
      </c>
      <c r="D59" s="2">
        <f>IF(A59&lt;=Параметры!$B$21,PMT(Параметры!B17/12,Параметры!B21,-Параметры!B19),0)</f>
        <v>2022144.0573404925</v>
      </c>
      <c r="E59" s="2">
        <f t="shared" si="3"/>
        <v>73973.409313087337</v>
      </c>
      <c r="F59" s="2">
        <f t="shared" si="4"/>
        <v>1948170.6480274051</v>
      </c>
      <c r="G59" s="2">
        <f>IF(A59&lt;=Параметры!$B$21,B59-F59,0)</f>
        <v>3969702.0970195821</v>
      </c>
    </row>
    <row r="60" spans="1:7" x14ac:dyDescent="0.25">
      <c r="A60">
        <f t="shared" si="5"/>
        <v>59</v>
      </c>
      <c r="B60" s="2">
        <f>IF(A60&lt;=Параметры!$B$21,G59,0)</f>
        <v>3969702.0970195821</v>
      </c>
      <c r="C60" s="3">
        <f>Параметры!B17/12</f>
        <v>1.2499999999999999E-2</v>
      </c>
      <c r="D60" s="2">
        <f>IF(A60&lt;=Параметры!$B$21,PMT(Параметры!B17/12,Параметры!B21,-Параметры!B19),0)</f>
        <v>2022144.0573404925</v>
      </c>
      <c r="E60" s="2">
        <f t="shared" si="3"/>
        <v>49621.276212744771</v>
      </c>
      <c r="F60" s="2">
        <f t="shared" si="4"/>
        <v>1972522.7811277476</v>
      </c>
      <c r="G60" s="2">
        <f>IF(A60&lt;=Параметры!$B$21,B60-F60,0)</f>
        <v>1997179.3158918344</v>
      </c>
    </row>
    <row r="61" spans="1:7" x14ac:dyDescent="0.25">
      <c r="A61">
        <f t="shared" si="5"/>
        <v>60</v>
      </c>
      <c r="B61" s="2">
        <f>IF(A61&lt;=Параметры!$B$21,G60,0)</f>
        <v>1997179.3158918344</v>
      </c>
      <c r="C61" s="3">
        <f>Параметры!B17/12</f>
        <v>1.2499999999999999E-2</v>
      </c>
      <c r="D61" s="2">
        <f>IF(A61&lt;=Параметры!$B$21,PMT(Параметры!B17/12,Параметры!B21,-Параметры!B19),0)</f>
        <v>2022144.0573404925</v>
      </c>
      <c r="E61" s="2">
        <f t="shared" si="3"/>
        <v>24964.741448647928</v>
      </c>
      <c r="F61" s="2">
        <f t="shared" si="4"/>
        <v>1997179.3158918445</v>
      </c>
      <c r="G61" s="2">
        <f>IF(A61&lt;=Параметры!$B$21,B61-F61,0)</f>
        <v>-1.0011717677116394E-8</v>
      </c>
    </row>
    <row r="62" spans="1:7" x14ac:dyDescent="0.25">
      <c r="A62">
        <f t="shared" si="5"/>
        <v>61</v>
      </c>
      <c r="B62">
        <f>IF(A62&lt;=Параметры!$B$21,G61,0)</f>
        <v>0</v>
      </c>
      <c r="C62" s="3">
        <f>Параметры!B17/12</f>
        <v>1.2499999999999999E-2</v>
      </c>
      <c r="D62">
        <f>IF(A62&lt;=Параметры!$B$21,PMT(Параметры!B17/12,Параметры!B21,-Параметры!B19),0)</f>
        <v>0</v>
      </c>
      <c r="E62">
        <f t="shared" si="3"/>
        <v>0</v>
      </c>
      <c r="F62">
        <f t="shared" si="4"/>
        <v>0</v>
      </c>
      <c r="G62">
        <f>IF(A62&lt;=Параметры!$B$21,B62-F62,0)</f>
        <v>0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theme="9" tint="0.79998168889431442"/>
  </sheetPr>
  <dimension ref="A1:L61"/>
  <sheetViews>
    <sheetView topLeftCell="A40" workbookViewId="0">
      <selection activeCell="I9" sqref="I9"/>
    </sheetView>
  </sheetViews>
  <sheetFormatPr defaultRowHeight="15" x14ac:dyDescent="0.25"/>
  <cols>
    <col min="1" max="1" width="6.85546875" bestFit="1" customWidth="1"/>
    <col min="2" max="2" width="4.140625" bestFit="1" customWidth="1"/>
    <col min="3" max="3" width="11.42578125" style="2" bestFit="1" customWidth="1"/>
    <col min="4" max="4" width="12.7109375" style="2" bestFit="1" customWidth="1"/>
    <col min="5" max="5" width="14" style="2" bestFit="1" customWidth="1"/>
    <col min="6" max="6" width="13.42578125" style="1" customWidth="1"/>
    <col min="7" max="7" width="16.140625" style="2" bestFit="1" customWidth="1"/>
    <col min="8" max="8" width="12.85546875" style="2" customWidth="1"/>
    <col min="9" max="12" width="13.42578125" style="2" customWidth="1"/>
  </cols>
  <sheetData>
    <row r="1" spans="1:12" s="4" customFormat="1" ht="45" x14ac:dyDescent="0.25">
      <c r="A1" s="4" t="s">
        <v>20</v>
      </c>
      <c r="B1" s="4" t="s">
        <v>21</v>
      </c>
      <c r="C1" s="5" t="s">
        <v>32</v>
      </c>
      <c r="D1" s="5" t="s">
        <v>33</v>
      </c>
      <c r="E1" s="5" t="s">
        <v>35</v>
      </c>
      <c r="F1" s="6" t="s">
        <v>34</v>
      </c>
      <c r="G1" s="5" t="s">
        <v>36</v>
      </c>
      <c r="H1" s="5" t="s">
        <v>47</v>
      </c>
      <c r="I1" s="5" t="s">
        <v>48</v>
      </c>
      <c r="J1" s="5" t="s">
        <v>37</v>
      </c>
      <c r="K1" s="5" t="s">
        <v>38</v>
      </c>
      <c r="L1" s="5" t="s">
        <v>77</v>
      </c>
    </row>
    <row r="2" spans="1:12" x14ac:dyDescent="0.25">
      <c r="A2">
        <f>PL_мес!A2</f>
        <v>1</v>
      </c>
      <c r="B2">
        <f>PL_мес!B2</f>
        <v>1</v>
      </c>
      <c r="C2" s="2">
        <f>PL_мес!C2</f>
        <v>160000</v>
      </c>
      <c r="D2" s="2">
        <f>PL_мес!D2</f>
        <v>45</v>
      </c>
      <c r="E2" s="2">
        <f>PL_мес!E2</f>
        <v>7200000</v>
      </c>
      <c r="F2" s="1">
        <f>PL_мес!F2</f>
        <v>19.77</v>
      </c>
      <c r="G2" s="2">
        <f>PL_мес!G2</f>
        <v>3163200</v>
      </c>
      <c r="H2" s="2">
        <f>PL_мес!H2</f>
        <v>4036800</v>
      </c>
      <c r="I2" s="2">
        <f>IF(1&lt;=Параметры!$B$21,INDEX(Кредит_мес!$E$2:$E$61,1),0)</f>
        <v>1062500</v>
      </c>
      <c r="J2" s="2">
        <f t="shared" ref="J2:J33" si="0">H2-I2</f>
        <v>2974300</v>
      </c>
      <c r="K2" s="2">
        <f>J2*Параметры!$B$6</f>
        <v>59486</v>
      </c>
      <c r="L2" s="2">
        <f t="shared" ref="L2:L33" si="1">J2-K2</f>
        <v>2914814</v>
      </c>
    </row>
    <row r="3" spans="1:12" x14ac:dyDescent="0.25">
      <c r="A3">
        <f>PL_мес!A3</f>
        <v>2</v>
      </c>
      <c r="B3">
        <f>PL_мес!B3</f>
        <v>1</v>
      </c>
      <c r="C3" s="2">
        <f>PL_мес!C3</f>
        <v>160000</v>
      </c>
      <c r="D3" s="2">
        <f>PL_мес!D3</f>
        <v>45</v>
      </c>
      <c r="E3" s="2">
        <f>PL_мес!E3</f>
        <v>7200000</v>
      </c>
      <c r="F3" s="1">
        <f>PL_мес!F3</f>
        <v>19.77</v>
      </c>
      <c r="G3" s="2">
        <f>PL_мес!G3</f>
        <v>3163200</v>
      </c>
      <c r="H3" s="2">
        <f>PL_мес!H3</f>
        <v>4036800</v>
      </c>
      <c r="I3" s="2">
        <f>IF(2&lt;=Параметры!$B$21,INDEX(Кредит_мес!$E$2:$E$61,2),0)</f>
        <v>1050504.4492832439</v>
      </c>
      <c r="J3" s="2">
        <f t="shared" si="0"/>
        <v>2986295.5507167559</v>
      </c>
      <c r="K3" s="2">
        <f>J3*Параметры!$B$6</f>
        <v>59725.911014335121</v>
      </c>
      <c r="L3" s="2">
        <f t="shared" si="1"/>
        <v>2926569.6397024207</v>
      </c>
    </row>
    <row r="4" spans="1:12" x14ac:dyDescent="0.25">
      <c r="A4">
        <f>PL_мес!A4</f>
        <v>3</v>
      </c>
      <c r="B4">
        <f>PL_мес!B4</f>
        <v>1</v>
      </c>
      <c r="C4" s="2">
        <f>PL_мес!C4</f>
        <v>160000</v>
      </c>
      <c r="D4" s="2">
        <f>PL_мес!D4</f>
        <v>45</v>
      </c>
      <c r="E4" s="2">
        <f>PL_мес!E4</f>
        <v>7200000</v>
      </c>
      <c r="F4" s="1">
        <f>PL_мес!F4</f>
        <v>19.77</v>
      </c>
      <c r="G4" s="2">
        <f>PL_мес!G4</f>
        <v>3163200</v>
      </c>
      <c r="H4" s="2">
        <f>PL_мес!H4</f>
        <v>4036800</v>
      </c>
      <c r="I4" s="2">
        <f>IF(3&lt;=Параметры!$B$21,INDEX(Кредит_мес!$E$2:$E$61,3),0)</f>
        <v>1038358.9541825282</v>
      </c>
      <c r="J4" s="2">
        <f t="shared" si="0"/>
        <v>2998441.045817472</v>
      </c>
      <c r="K4" s="2">
        <f>J4*Параметры!$B$6</f>
        <v>59968.820916349439</v>
      </c>
      <c r="L4" s="2">
        <f t="shared" si="1"/>
        <v>2938472.2249011225</v>
      </c>
    </row>
    <row r="5" spans="1:12" x14ac:dyDescent="0.25">
      <c r="A5">
        <f>PL_мес!A5</f>
        <v>4</v>
      </c>
      <c r="B5">
        <f>PL_мес!B5</f>
        <v>1</v>
      </c>
      <c r="C5" s="2">
        <f>PL_мес!C5</f>
        <v>160000</v>
      </c>
      <c r="D5" s="2">
        <f>PL_мес!D5</f>
        <v>45</v>
      </c>
      <c r="E5" s="2">
        <f>PL_мес!E5</f>
        <v>7200000</v>
      </c>
      <c r="F5" s="1">
        <f>PL_мес!F5</f>
        <v>19.77</v>
      </c>
      <c r="G5" s="2">
        <f>PL_мес!G5</f>
        <v>3163200</v>
      </c>
      <c r="H5" s="2">
        <f>PL_мес!H5</f>
        <v>4036800</v>
      </c>
      <c r="I5" s="2">
        <f>IF(4&lt;=Параметры!$B$21,INDEX(Кредит_мес!$E$2:$E$61,4),0)</f>
        <v>1026061.6403930536</v>
      </c>
      <c r="J5" s="2">
        <f t="shared" si="0"/>
        <v>3010738.3596069464</v>
      </c>
      <c r="K5" s="2">
        <f>J5*Параметры!$B$6</f>
        <v>60214.767192138926</v>
      </c>
      <c r="L5" s="2">
        <f t="shared" si="1"/>
        <v>2950523.5924148075</v>
      </c>
    </row>
    <row r="6" spans="1:12" x14ac:dyDescent="0.25">
      <c r="A6">
        <f>PL_мес!A6</f>
        <v>5</v>
      </c>
      <c r="B6">
        <f>PL_мес!B6</f>
        <v>1</v>
      </c>
      <c r="C6" s="2">
        <f>PL_мес!C6</f>
        <v>160000</v>
      </c>
      <c r="D6" s="2">
        <f>PL_мес!D6</f>
        <v>45</v>
      </c>
      <c r="E6" s="2">
        <f>PL_мес!E6</f>
        <v>7200000</v>
      </c>
      <c r="F6" s="1">
        <f>PL_мес!F6</f>
        <v>19.77</v>
      </c>
      <c r="G6" s="2">
        <f>PL_мес!G6</f>
        <v>3163200</v>
      </c>
      <c r="H6" s="2">
        <f>PL_мес!H6</f>
        <v>4036800</v>
      </c>
      <c r="I6" s="2">
        <f>IF(5&lt;=Параметры!$B$21,INDEX(Кредит_мес!$E$2:$E$61,5),0)</f>
        <v>1013610.6101812107</v>
      </c>
      <c r="J6" s="2">
        <f t="shared" si="0"/>
        <v>3023189.3898187894</v>
      </c>
      <c r="K6" s="2">
        <f>J6*Параметры!$B$6</f>
        <v>60463.787796375793</v>
      </c>
      <c r="L6" s="2">
        <f t="shared" si="1"/>
        <v>2962725.6020224136</v>
      </c>
    </row>
    <row r="7" spans="1:12" x14ac:dyDescent="0.25">
      <c r="A7">
        <f>PL_мес!A7</f>
        <v>6</v>
      </c>
      <c r="B7">
        <f>PL_мес!B7</f>
        <v>1</v>
      </c>
      <c r="C7" s="2">
        <f>PL_мес!C7</f>
        <v>160000</v>
      </c>
      <c r="D7" s="2">
        <f>PL_мес!D7</f>
        <v>45</v>
      </c>
      <c r="E7" s="2">
        <f>PL_мес!E7</f>
        <v>7200000</v>
      </c>
      <c r="F7" s="1">
        <f>PL_мес!F7</f>
        <v>19.77</v>
      </c>
      <c r="G7" s="2">
        <f>PL_мес!G7</f>
        <v>3163200</v>
      </c>
      <c r="H7" s="2">
        <f>PL_мес!H7</f>
        <v>4036800</v>
      </c>
      <c r="I7" s="2">
        <f>IF(6&lt;=Параметры!$B$21,INDEX(Кредит_мес!$E$2:$E$61,6),0)</f>
        <v>1001003.9420917197</v>
      </c>
      <c r="J7" s="2">
        <f t="shared" si="0"/>
        <v>3035796.0579082803</v>
      </c>
      <c r="K7" s="2">
        <f>J7*Параметры!$B$6</f>
        <v>60715.921158165605</v>
      </c>
      <c r="L7" s="2">
        <f t="shared" si="1"/>
        <v>2975080.1367501146</v>
      </c>
    </row>
    <row r="8" spans="1:12" x14ac:dyDescent="0.25">
      <c r="A8">
        <f>PL_мес!A8</f>
        <v>7</v>
      </c>
      <c r="B8">
        <f>PL_мес!B8</f>
        <v>1</v>
      </c>
      <c r="C8" s="2">
        <f>PL_мес!C8</f>
        <v>160000</v>
      </c>
      <c r="D8" s="2">
        <f>PL_мес!D8</f>
        <v>45</v>
      </c>
      <c r="E8" s="2">
        <f>PL_мес!E8</f>
        <v>7200000</v>
      </c>
      <c r="F8" s="1">
        <f>PL_мес!F8</f>
        <v>19.77</v>
      </c>
      <c r="G8" s="2">
        <f>PL_мес!G8</f>
        <v>3163200</v>
      </c>
      <c r="H8" s="2">
        <f>PL_мес!H8</f>
        <v>4036800</v>
      </c>
      <c r="I8" s="2">
        <f>IF(7&lt;=Параметры!$B$21,INDEX(Кредит_мес!$E$2:$E$61,7),0)</f>
        <v>988239.69065111014</v>
      </c>
      <c r="J8" s="2">
        <f t="shared" si="0"/>
        <v>3048560.3093488896</v>
      </c>
      <c r="K8" s="2">
        <f>J8*Параметры!$B$6</f>
        <v>60971.206186977797</v>
      </c>
      <c r="L8" s="2">
        <f t="shared" si="1"/>
        <v>2987589.1031619119</v>
      </c>
    </row>
    <row r="9" spans="1:12" x14ac:dyDescent="0.25">
      <c r="A9">
        <f>PL_мес!A9</f>
        <v>8</v>
      </c>
      <c r="B9">
        <f>PL_мес!B9</f>
        <v>1</v>
      </c>
      <c r="C9" s="2">
        <f>PL_мес!C9</f>
        <v>160000</v>
      </c>
      <c r="D9" s="2">
        <f>PL_мес!D9</f>
        <v>45</v>
      </c>
      <c r="E9" s="2">
        <f>PL_мес!E9</f>
        <v>7200000</v>
      </c>
      <c r="F9" s="1">
        <f>PL_мес!F9</f>
        <v>19.77</v>
      </c>
      <c r="G9" s="2">
        <f>PL_мес!G9</f>
        <v>3163200</v>
      </c>
      <c r="H9" s="2">
        <f>PL_мес!H9</f>
        <v>4036800</v>
      </c>
      <c r="I9" s="2">
        <f>IF(8&lt;=Параметры!$B$21,INDEX(Кредит_мес!$E$2:$E$61,8),0)</f>
        <v>975315.88606749277</v>
      </c>
      <c r="J9" s="2">
        <f t="shared" si="0"/>
        <v>3061484.1139325071</v>
      </c>
      <c r="K9" s="2">
        <f>J9*Параметры!$B$6</f>
        <v>61229.682278650143</v>
      </c>
      <c r="L9" s="2">
        <f t="shared" si="1"/>
        <v>3000254.4316538568</v>
      </c>
    </row>
    <row r="10" spans="1:12" x14ac:dyDescent="0.25">
      <c r="A10">
        <f>PL_мес!A10</f>
        <v>9</v>
      </c>
      <c r="B10">
        <f>PL_мес!B10</f>
        <v>1</v>
      </c>
      <c r="C10" s="2">
        <f>PL_мес!C10</f>
        <v>160000</v>
      </c>
      <c r="D10" s="2">
        <f>PL_мес!D10</f>
        <v>45</v>
      </c>
      <c r="E10" s="2">
        <f>PL_мес!E10</f>
        <v>7200000</v>
      </c>
      <c r="F10" s="1">
        <f>PL_мес!F10</f>
        <v>19.77</v>
      </c>
      <c r="G10" s="2">
        <f>PL_мес!G10</f>
        <v>3163200</v>
      </c>
      <c r="H10" s="2">
        <f>PL_мес!H10</f>
        <v>4036800</v>
      </c>
      <c r="I10" s="2">
        <f>IF(9&lt;=Параметры!$B$21,INDEX(Кредит_мес!$E$2:$E$61,9),0)</f>
        <v>962230.53392658045</v>
      </c>
      <c r="J10" s="2">
        <f t="shared" si="0"/>
        <v>3074569.4660734194</v>
      </c>
      <c r="K10" s="2">
        <f>J10*Параметры!$B$6</f>
        <v>61491.389321468392</v>
      </c>
      <c r="L10" s="2">
        <f t="shared" si="1"/>
        <v>3013078.0767519511</v>
      </c>
    </row>
    <row r="11" spans="1:12" x14ac:dyDescent="0.25">
      <c r="A11">
        <f>PL_мес!A11</f>
        <v>10</v>
      </c>
      <c r="B11">
        <f>PL_мес!B11</f>
        <v>1</v>
      </c>
      <c r="C11" s="2">
        <f>PL_мес!C11</f>
        <v>160000</v>
      </c>
      <c r="D11" s="2">
        <f>PL_мес!D11</f>
        <v>45</v>
      </c>
      <c r="E11" s="2">
        <f>PL_мес!E11</f>
        <v>7200000</v>
      </c>
      <c r="F11" s="1">
        <f>PL_мес!F11</f>
        <v>19.77</v>
      </c>
      <c r="G11" s="2">
        <f>PL_мес!G11</f>
        <v>3163200</v>
      </c>
      <c r="H11" s="2">
        <f>PL_мес!H11</f>
        <v>4036800</v>
      </c>
      <c r="I11" s="2">
        <f>IF(10&lt;=Параметры!$B$21,INDEX(Кредит_мес!$E$2:$E$61,10),0)</f>
        <v>948981.61488390656</v>
      </c>
      <c r="J11" s="2">
        <f t="shared" si="0"/>
        <v>3087818.3851160933</v>
      </c>
      <c r="K11" s="2">
        <f>J11*Параметры!$B$6</f>
        <v>61756.36770232187</v>
      </c>
      <c r="L11" s="2">
        <f t="shared" si="1"/>
        <v>3026062.0174137712</v>
      </c>
    </row>
    <row r="12" spans="1:12" x14ac:dyDescent="0.25">
      <c r="A12">
        <f>PL_мес!A12</f>
        <v>11</v>
      </c>
      <c r="B12">
        <f>PL_мес!B12</f>
        <v>1</v>
      </c>
      <c r="C12" s="2">
        <f>PL_мес!C12</f>
        <v>160000</v>
      </c>
      <c r="D12" s="2">
        <f>PL_мес!D12</f>
        <v>45</v>
      </c>
      <c r="E12" s="2">
        <f>PL_мес!E12</f>
        <v>7200000</v>
      </c>
      <c r="F12" s="1">
        <f>PL_мес!F12</f>
        <v>19.77</v>
      </c>
      <c r="G12" s="2">
        <f>PL_мес!G12</f>
        <v>3163200</v>
      </c>
      <c r="H12" s="2">
        <f>PL_мес!H12</f>
        <v>4036800</v>
      </c>
      <c r="I12" s="2">
        <f>IF(11&lt;=Параметры!$B$21,INDEX(Кредит_мес!$E$2:$E$61,11),0)</f>
        <v>935567.08435319911</v>
      </c>
      <c r="J12" s="2">
        <f t="shared" si="0"/>
        <v>3101232.9156468008</v>
      </c>
      <c r="K12" s="2">
        <f>J12*Параметры!$B$6</f>
        <v>62024.658312936015</v>
      </c>
      <c r="L12" s="2">
        <f t="shared" si="1"/>
        <v>3039208.2573338649</v>
      </c>
    </row>
    <row r="13" spans="1:12" x14ac:dyDescent="0.25">
      <c r="A13">
        <f>PL_мес!A13</f>
        <v>12</v>
      </c>
      <c r="B13">
        <f>PL_мес!B13</f>
        <v>1</v>
      </c>
      <c r="C13" s="2">
        <f>PL_мес!C13</f>
        <v>160000</v>
      </c>
      <c r="D13" s="2">
        <f>PL_мес!D13</f>
        <v>45</v>
      </c>
      <c r="E13" s="2">
        <f>PL_мес!E13</f>
        <v>7200000</v>
      </c>
      <c r="F13" s="1">
        <f>PL_мес!F13</f>
        <v>19.77</v>
      </c>
      <c r="G13" s="2">
        <f>PL_мес!G13</f>
        <v>3163200</v>
      </c>
      <c r="H13" s="2">
        <f>PL_мес!H13</f>
        <v>4036800</v>
      </c>
      <c r="I13" s="2">
        <f>IF(12&lt;=Параметры!$B$21,INDEX(Кредит_мес!$E$2:$E$61,12),0)</f>
        <v>921984.872190858</v>
      </c>
      <c r="J13" s="2">
        <f t="shared" si="0"/>
        <v>3114815.1278091418</v>
      </c>
      <c r="K13" s="2">
        <f>J13*Параметры!$B$6</f>
        <v>62296.30255618284</v>
      </c>
      <c r="L13" s="2">
        <f t="shared" si="1"/>
        <v>3052518.825252959</v>
      </c>
    </row>
    <row r="14" spans="1:12" x14ac:dyDescent="0.25">
      <c r="A14">
        <f>PL_мес!A14</f>
        <v>13</v>
      </c>
      <c r="B14">
        <f>PL_мес!B14</f>
        <v>2</v>
      </c>
      <c r="C14" s="2">
        <f>PL_мес!C14</f>
        <v>180000</v>
      </c>
      <c r="D14" s="2">
        <f>PL_мес!D14</f>
        <v>47.25</v>
      </c>
      <c r="E14" s="2">
        <f>PL_мес!E14</f>
        <v>8505000</v>
      </c>
      <c r="F14" s="1">
        <f>PL_мес!F14</f>
        <v>20.758500000000002</v>
      </c>
      <c r="G14" s="2">
        <f>PL_мес!G14</f>
        <v>3736530.0000000005</v>
      </c>
      <c r="H14" s="2">
        <f>PL_мес!H14</f>
        <v>4768470</v>
      </c>
      <c r="I14" s="2">
        <f>IF(13&lt;=Параметры!$B$21,INDEX(Кредит_мес!$E$2:$E$61,13),0)</f>
        <v>908232.88237648748</v>
      </c>
      <c r="J14" s="2">
        <f t="shared" si="0"/>
        <v>3860237.1176235126</v>
      </c>
      <c r="K14" s="2">
        <f>J14*Параметры!$B$6</f>
        <v>77204.742352470261</v>
      </c>
      <c r="L14" s="2">
        <f t="shared" si="1"/>
        <v>3783032.3752710423</v>
      </c>
    </row>
    <row r="15" spans="1:12" x14ac:dyDescent="0.25">
      <c r="A15">
        <f>PL_мес!A15</f>
        <v>14</v>
      </c>
      <c r="B15">
        <f>PL_мес!B15</f>
        <v>2</v>
      </c>
      <c r="C15" s="2">
        <f>PL_мес!C15</f>
        <v>180000</v>
      </c>
      <c r="D15" s="2">
        <f>PL_мес!D15</f>
        <v>47.25</v>
      </c>
      <c r="E15" s="2">
        <f>PL_мес!E15</f>
        <v>8505000</v>
      </c>
      <c r="F15" s="1">
        <f>PL_мес!F15</f>
        <v>20.758500000000002</v>
      </c>
      <c r="G15" s="2">
        <f>PL_мес!G15</f>
        <v>3736530.0000000005</v>
      </c>
      <c r="H15" s="2">
        <f>PL_мес!H15</f>
        <v>4768470</v>
      </c>
      <c r="I15" s="2">
        <f>IF(14&lt;=Параметры!$B$21,INDEX(Кредит_мес!$E$2:$E$61,14),0)</f>
        <v>894308.99268943735</v>
      </c>
      <c r="J15" s="2">
        <f t="shared" si="0"/>
        <v>3874161.0073105628</v>
      </c>
      <c r="K15" s="2">
        <f>J15*Параметры!$B$6</f>
        <v>77483.220146211257</v>
      </c>
      <c r="L15" s="2">
        <f t="shared" si="1"/>
        <v>3796677.7871643514</v>
      </c>
    </row>
    <row r="16" spans="1:12" x14ac:dyDescent="0.25">
      <c r="A16">
        <f>PL_мес!A16</f>
        <v>15</v>
      </c>
      <c r="B16">
        <f>PL_мес!B16</f>
        <v>2</v>
      </c>
      <c r="C16" s="2">
        <f>PL_мес!C16</f>
        <v>180000</v>
      </c>
      <c r="D16" s="2">
        <f>PL_мес!D16</f>
        <v>47.25</v>
      </c>
      <c r="E16" s="2">
        <f>PL_мес!E16</f>
        <v>8505000</v>
      </c>
      <c r="F16" s="1">
        <f>PL_мес!F16</f>
        <v>20.758500000000002</v>
      </c>
      <c r="G16" s="2">
        <f>PL_мес!G16</f>
        <v>3736530.0000000005</v>
      </c>
      <c r="H16" s="2">
        <f>PL_мес!H16</f>
        <v>4768470</v>
      </c>
      <c r="I16" s="2">
        <f>IF(15&lt;=Параметры!$B$21,INDEX(Кредит_мес!$E$2:$E$61,15),0)</f>
        <v>880211.05438129918</v>
      </c>
      <c r="J16" s="2">
        <f t="shared" si="0"/>
        <v>3888258.9456187007</v>
      </c>
      <c r="K16" s="2">
        <f>J16*Параметры!$B$6</f>
        <v>77765.178912374016</v>
      </c>
      <c r="L16" s="2">
        <f t="shared" si="1"/>
        <v>3810493.7667063265</v>
      </c>
    </row>
    <row r="17" spans="1:12" x14ac:dyDescent="0.25">
      <c r="A17">
        <f>PL_мес!A17</f>
        <v>16</v>
      </c>
      <c r="B17">
        <f>PL_мес!B17</f>
        <v>2</v>
      </c>
      <c r="C17" s="2">
        <f>PL_мес!C17</f>
        <v>180000</v>
      </c>
      <c r="D17" s="2">
        <f>PL_мес!D17</f>
        <v>47.25</v>
      </c>
      <c r="E17" s="2">
        <f>PL_мес!E17</f>
        <v>8505000</v>
      </c>
      <c r="F17" s="1">
        <f>PL_мес!F17</f>
        <v>20.758500000000002</v>
      </c>
      <c r="G17" s="2">
        <f>PL_мес!G17</f>
        <v>3736530.0000000005</v>
      </c>
      <c r="H17" s="2">
        <f>PL_мес!H17</f>
        <v>4768470</v>
      </c>
      <c r="I17" s="2">
        <f>IF(16&lt;=Параметры!$B$21,INDEX(Кредит_мес!$E$2:$E$61,16),0)</f>
        <v>865936.89184430928</v>
      </c>
      <c r="J17" s="2">
        <f t="shared" si="0"/>
        <v>3902533.1081556906</v>
      </c>
      <c r="K17" s="2">
        <f>J17*Параметры!$B$6</f>
        <v>78050.662163113811</v>
      </c>
      <c r="L17" s="2">
        <f t="shared" si="1"/>
        <v>3824482.4459925769</v>
      </c>
    </row>
    <row r="18" spans="1:12" x14ac:dyDescent="0.25">
      <c r="A18">
        <f>PL_мес!A18</f>
        <v>17</v>
      </c>
      <c r="B18">
        <f>PL_мес!B18</f>
        <v>2</v>
      </c>
      <c r="C18" s="2">
        <f>PL_мес!C18</f>
        <v>180000</v>
      </c>
      <c r="D18" s="2">
        <f>PL_мес!D18</f>
        <v>47.25</v>
      </c>
      <c r="E18" s="2">
        <f>PL_мес!E18</f>
        <v>8505000</v>
      </c>
      <c r="F18" s="1">
        <f>PL_мес!F18</f>
        <v>20.758500000000002</v>
      </c>
      <c r="G18" s="2">
        <f>PL_мес!G18</f>
        <v>3736530.0000000005</v>
      </c>
      <c r="H18" s="2">
        <f>PL_мес!H18</f>
        <v>4768470</v>
      </c>
      <c r="I18" s="2">
        <f>IF(17&lt;=Параметры!$B$21,INDEX(Кредит_мес!$E$2:$E$61,17),0)</f>
        <v>851484.3022756069</v>
      </c>
      <c r="J18" s="2">
        <f t="shared" si="0"/>
        <v>3916985.6977243931</v>
      </c>
      <c r="K18" s="2">
        <f>J18*Параметры!$B$6</f>
        <v>78339.713954487859</v>
      </c>
      <c r="L18" s="2">
        <f t="shared" si="1"/>
        <v>3838645.9837699053</v>
      </c>
    </row>
    <row r="19" spans="1:12" x14ac:dyDescent="0.25">
      <c r="A19">
        <f>PL_мес!A19</f>
        <v>18</v>
      </c>
      <c r="B19">
        <f>PL_мес!B19</f>
        <v>2</v>
      </c>
      <c r="C19" s="2">
        <f>PL_мес!C19</f>
        <v>180000</v>
      </c>
      <c r="D19" s="2">
        <f>PL_мес!D19</f>
        <v>47.25</v>
      </c>
      <c r="E19" s="2">
        <f>PL_мес!E19</f>
        <v>8505000</v>
      </c>
      <c r="F19" s="1">
        <f>PL_мес!F19</f>
        <v>20.758500000000002</v>
      </c>
      <c r="G19" s="2">
        <f>PL_мес!G19</f>
        <v>3736530.0000000005</v>
      </c>
      <c r="H19" s="2">
        <f>PL_мес!H19</f>
        <v>4768470</v>
      </c>
      <c r="I19" s="2">
        <f>IF(18&lt;=Параметры!$B$21,INDEX(Кредит_мес!$E$2:$E$61,18),0)</f>
        <v>836851.05533729587</v>
      </c>
      <c r="J19" s="2">
        <f t="shared" si="0"/>
        <v>3931618.9446627041</v>
      </c>
      <c r="K19" s="2">
        <f>J19*Параметры!$B$6</f>
        <v>78632.378893254077</v>
      </c>
      <c r="L19" s="2">
        <f t="shared" si="1"/>
        <v>3852986.5657694503</v>
      </c>
    </row>
    <row r="20" spans="1:12" x14ac:dyDescent="0.25">
      <c r="A20">
        <f>PL_мес!A20</f>
        <v>19</v>
      </c>
      <c r="B20">
        <f>PL_мес!B20</f>
        <v>2</v>
      </c>
      <c r="C20" s="2">
        <f>PL_мес!C20</f>
        <v>180000</v>
      </c>
      <c r="D20" s="2">
        <f>PL_мес!D20</f>
        <v>47.25</v>
      </c>
      <c r="E20" s="2">
        <f>PL_мес!E20</f>
        <v>8505000</v>
      </c>
      <c r="F20" s="1">
        <f>PL_мес!F20</f>
        <v>20.758500000000002</v>
      </c>
      <c r="G20" s="2">
        <f>PL_мес!G20</f>
        <v>3736530.0000000005</v>
      </c>
      <c r="H20" s="2">
        <f>PL_мес!H20</f>
        <v>4768470</v>
      </c>
      <c r="I20" s="2">
        <f>IF(19&lt;=Параметры!$B$21,INDEX(Кредит_мес!$E$2:$E$61,19),0)</f>
        <v>822034.89281225589</v>
      </c>
      <c r="J20" s="2">
        <f t="shared" si="0"/>
        <v>3946435.1071877442</v>
      </c>
      <c r="K20" s="2">
        <f>J20*Параметры!$B$6</f>
        <v>78928.702143754883</v>
      </c>
      <c r="L20" s="2">
        <f t="shared" si="1"/>
        <v>3867506.4050439894</v>
      </c>
    </row>
    <row r="21" spans="1:12" x14ac:dyDescent="0.25">
      <c r="A21">
        <f>PL_мес!A21</f>
        <v>20</v>
      </c>
      <c r="B21">
        <f>PL_мес!B21</f>
        <v>2</v>
      </c>
      <c r="C21" s="2">
        <f>PL_мес!C21</f>
        <v>180000</v>
      </c>
      <c r="D21" s="2">
        <f>PL_мес!D21</f>
        <v>47.25</v>
      </c>
      <c r="E21" s="2">
        <f>PL_мес!E21</f>
        <v>8505000</v>
      </c>
      <c r="F21" s="1">
        <f>PL_мес!F21</f>
        <v>20.758500000000002</v>
      </c>
      <c r="G21" s="2">
        <f>PL_мес!G21</f>
        <v>3736530.0000000005</v>
      </c>
      <c r="H21" s="2">
        <f>PL_мес!H21</f>
        <v>4768470</v>
      </c>
      <c r="I21" s="2">
        <f>IF(20&lt;=Параметры!$B$21,INDEX(Кредит_мес!$E$2:$E$61,20),0)</f>
        <v>807033.52825565299</v>
      </c>
      <c r="J21" s="2">
        <f t="shared" si="0"/>
        <v>3961436.4717443469</v>
      </c>
      <c r="K21" s="2">
        <f>J21*Параметры!$B$6</f>
        <v>79228.729434886933</v>
      </c>
      <c r="L21" s="2">
        <f t="shared" si="1"/>
        <v>3882207.74230946</v>
      </c>
    </row>
    <row r="22" spans="1:12" x14ac:dyDescent="0.25">
      <c r="A22">
        <f>PL_мес!A22</f>
        <v>21</v>
      </c>
      <c r="B22">
        <f>PL_мес!B22</f>
        <v>2</v>
      </c>
      <c r="C22" s="2">
        <f>PL_мес!C22</f>
        <v>180000</v>
      </c>
      <c r="D22" s="2">
        <f>PL_мес!D22</f>
        <v>47.25</v>
      </c>
      <c r="E22" s="2">
        <f>PL_мес!E22</f>
        <v>8505000</v>
      </c>
      <c r="F22" s="1">
        <f>PL_мес!F22</f>
        <v>20.758500000000002</v>
      </c>
      <c r="G22" s="2">
        <f>PL_мес!G22</f>
        <v>3736530.0000000005</v>
      </c>
      <c r="H22" s="2">
        <f>PL_мес!H22</f>
        <v>4768470</v>
      </c>
      <c r="I22" s="2">
        <f>IF(21&lt;=Параметры!$B$21,INDEX(Кредит_мес!$E$2:$E$61,21),0)</f>
        <v>791844.6466420925</v>
      </c>
      <c r="J22" s="2">
        <f t="shared" si="0"/>
        <v>3976625.3533579074</v>
      </c>
      <c r="K22" s="2">
        <f>J22*Параметры!$B$6</f>
        <v>79532.507067158149</v>
      </c>
      <c r="L22" s="2">
        <f t="shared" si="1"/>
        <v>3897092.846290749</v>
      </c>
    </row>
    <row r="23" spans="1:12" x14ac:dyDescent="0.25">
      <c r="A23">
        <f>PL_мес!A23</f>
        <v>22</v>
      </c>
      <c r="B23">
        <f>PL_мес!B23</f>
        <v>2</v>
      </c>
      <c r="C23" s="2">
        <f>PL_мес!C23</f>
        <v>180000</v>
      </c>
      <c r="D23" s="2">
        <f>PL_мес!D23</f>
        <v>47.25</v>
      </c>
      <c r="E23" s="2">
        <f>PL_мес!E23</f>
        <v>8505000</v>
      </c>
      <c r="F23" s="1">
        <f>PL_мес!F23</f>
        <v>20.758500000000002</v>
      </c>
      <c r="G23" s="2">
        <f>PL_мес!G23</f>
        <v>3736530.0000000005</v>
      </c>
      <c r="H23" s="2">
        <f>PL_мес!H23</f>
        <v>4768470</v>
      </c>
      <c r="I23" s="2">
        <f>IF(22&lt;=Параметры!$B$21,INDEX(Кредит_мес!$E$2:$E$61,22),0)</f>
        <v>776465.90400836244</v>
      </c>
      <c r="J23" s="2">
        <f t="shared" si="0"/>
        <v>3992004.0959916376</v>
      </c>
      <c r="K23" s="2">
        <f>J23*Параметры!$B$6</f>
        <v>79840.081919832752</v>
      </c>
      <c r="L23" s="2">
        <f t="shared" si="1"/>
        <v>3912164.0140718049</v>
      </c>
    </row>
    <row r="24" spans="1:12" x14ac:dyDescent="0.25">
      <c r="A24">
        <f>PL_мес!A24</f>
        <v>23</v>
      </c>
      <c r="B24">
        <f>PL_мес!B24</f>
        <v>2</v>
      </c>
      <c r="C24" s="2">
        <f>PL_мес!C24</f>
        <v>180000</v>
      </c>
      <c r="D24" s="2">
        <f>PL_мес!D24</f>
        <v>47.25</v>
      </c>
      <c r="E24" s="2">
        <f>PL_мес!E24</f>
        <v>8505000</v>
      </c>
      <c r="F24" s="1">
        <f>PL_мес!F24</f>
        <v>20.758500000000002</v>
      </c>
      <c r="G24" s="2">
        <f>PL_мес!G24</f>
        <v>3736530.0000000005</v>
      </c>
      <c r="H24" s="2">
        <f>PL_мес!H24</f>
        <v>4768470</v>
      </c>
      <c r="I24" s="2">
        <f>IF(23&lt;=Параметры!$B$21,INDEX(Кредит_мес!$E$2:$E$61,23),0)</f>
        <v>760894.92709171085</v>
      </c>
      <c r="J24" s="2">
        <f t="shared" si="0"/>
        <v>4007575.0729082893</v>
      </c>
      <c r="K24" s="2">
        <f>J24*Параметры!$B$6</f>
        <v>80151.501458165789</v>
      </c>
      <c r="L24" s="2">
        <f t="shared" si="1"/>
        <v>3927423.5714501236</v>
      </c>
    </row>
    <row r="25" spans="1:12" x14ac:dyDescent="0.25">
      <c r="A25">
        <f>PL_мес!A25</f>
        <v>24</v>
      </c>
      <c r="B25">
        <f>PL_мес!B25</f>
        <v>2</v>
      </c>
      <c r="C25" s="2">
        <f>PL_мес!C25</f>
        <v>180000</v>
      </c>
      <c r="D25" s="2">
        <f>PL_мес!D25</f>
        <v>47.25</v>
      </c>
      <c r="E25" s="2">
        <f>PL_мес!E25</f>
        <v>8505000</v>
      </c>
      <c r="F25" s="1">
        <f>PL_мес!F25</f>
        <v>20.758500000000002</v>
      </c>
      <c r="G25" s="2">
        <f>PL_мес!G25</f>
        <v>3736530.0000000005</v>
      </c>
      <c r="H25" s="2">
        <f>PL_мес!H25</f>
        <v>4768470</v>
      </c>
      <c r="I25" s="2">
        <f>IF(24&lt;=Параметры!$B$21,INDEX(Кредит_мес!$E$2:$E$61,24),0)</f>
        <v>745129.31296360109</v>
      </c>
      <c r="J25" s="2">
        <f t="shared" si="0"/>
        <v>4023340.6870363988</v>
      </c>
      <c r="K25" s="2">
        <f>J25*Параметры!$B$6</f>
        <v>80466.813740727972</v>
      </c>
      <c r="L25" s="2">
        <f t="shared" si="1"/>
        <v>3942873.8732956708</v>
      </c>
    </row>
    <row r="26" spans="1:12" x14ac:dyDescent="0.25">
      <c r="A26">
        <f>PL_мес!A26</f>
        <v>25</v>
      </c>
      <c r="B26">
        <f>PL_мес!B26</f>
        <v>3</v>
      </c>
      <c r="C26" s="2">
        <f>PL_мес!C26</f>
        <v>200000</v>
      </c>
      <c r="D26" s="2">
        <f>PL_мес!D26</f>
        <v>49.612500000000004</v>
      </c>
      <c r="E26" s="2">
        <f>PL_мес!E26</f>
        <v>9922500</v>
      </c>
      <c r="F26" s="1">
        <f>PL_мес!F26</f>
        <v>21.796424999999999</v>
      </c>
      <c r="G26" s="2">
        <f>PL_мес!G26</f>
        <v>4359285</v>
      </c>
      <c r="H26" s="2">
        <f>PL_мес!H26</f>
        <v>5563215</v>
      </c>
      <c r="I26" s="2">
        <f>IF(25&lt;=Параметры!$B$21,INDEX(Кредит_мес!$E$2:$E$61,25),0)</f>
        <v>729166.62865888991</v>
      </c>
      <c r="J26" s="2">
        <f t="shared" si="0"/>
        <v>4834048.3713411102</v>
      </c>
      <c r="K26" s="2">
        <f>J26*Параметры!$B$6</f>
        <v>96680.967426822201</v>
      </c>
      <c r="L26" s="2">
        <f t="shared" si="1"/>
        <v>4737367.4039142877</v>
      </c>
    </row>
    <row r="27" spans="1:12" x14ac:dyDescent="0.25">
      <c r="A27">
        <f>PL_мес!A27</f>
        <v>26</v>
      </c>
      <c r="B27">
        <f>PL_мес!B27</f>
        <v>3</v>
      </c>
      <c r="C27" s="2">
        <f>PL_мес!C27</f>
        <v>200000</v>
      </c>
      <c r="D27" s="2">
        <f>PL_мес!D27</f>
        <v>49.612500000000004</v>
      </c>
      <c r="E27" s="2">
        <f>PL_мес!E27</f>
        <v>9922500</v>
      </c>
      <c r="F27" s="1">
        <f>PL_мес!F27</f>
        <v>21.796424999999999</v>
      </c>
      <c r="G27" s="2">
        <f>PL_мес!G27</f>
        <v>4359285</v>
      </c>
      <c r="H27" s="2">
        <f>PL_мес!H27</f>
        <v>5563215</v>
      </c>
      <c r="I27" s="2">
        <f>IF(26&lt;=Параметры!$B$21,INDEX(Кредит_мес!$E$2:$E$61,26),0)</f>
        <v>713004.41080036981</v>
      </c>
      <c r="J27" s="2">
        <f t="shared" si="0"/>
        <v>4850210.5891996305</v>
      </c>
      <c r="K27" s="2">
        <f>J27*Параметры!$B$6</f>
        <v>97004.211783992607</v>
      </c>
      <c r="L27" s="2">
        <f t="shared" si="1"/>
        <v>4753206.3774156375</v>
      </c>
    </row>
    <row r="28" spans="1:12" x14ac:dyDescent="0.25">
      <c r="A28">
        <f>PL_мес!A28</f>
        <v>27</v>
      </c>
      <c r="B28">
        <f>PL_мес!B28</f>
        <v>3</v>
      </c>
      <c r="C28" s="2">
        <f>PL_мес!C28</f>
        <v>200000</v>
      </c>
      <c r="D28" s="2">
        <f>PL_мес!D28</f>
        <v>49.612500000000004</v>
      </c>
      <c r="E28" s="2">
        <f>PL_мес!E28</f>
        <v>9922500</v>
      </c>
      <c r="F28" s="1">
        <f>PL_мес!F28</f>
        <v>21.796424999999999</v>
      </c>
      <c r="G28" s="2">
        <f>PL_мес!G28</f>
        <v>4359285</v>
      </c>
      <c r="H28" s="2">
        <f>PL_мес!H28</f>
        <v>5563215</v>
      </c>
      <c r="I28" s="2">
        <f>IF(27&lt;=Параметры!$B$21,INDEX(Кредит_мес!$E$2:$E$61,27),0)</f>
        <v>696640.16521861835</v>
      </c>
      <c r="J28" s="2">
        <f t="shared" si="0"/>
        <v>4866574.8347813813</v>
      </c>
      <c r="K28" s="2">
        <f>J28*Параметры!$B$6</f>
        <v>97331.496695627633</v>
      </c>
      <c r="L28" s="2">
        <f t="shared" si="1"/>
        <v>4769243.3380857538</v>
      </c>
    </row>
    <row r="29" spans="1:12" x14ac:dyDescent="0.25">
      <c r="A29">
        <f>PL_мес!A29</f>
        <v>28</v>
      </c>
      <c r="B29">
        <f>PL_мес!B29</f>
        <v>3</v>
      </c>
      <c r="C29" s="2">
        <f>PL_мес!C29</f>
        <v>200000</v>
      </c>
      <c r="D29" s="2">
        <f>PL_мес!D29</f>
        <v>49.612500000000004</v>
      </c>
      <c r="E29" s="2">
        <f>PL_мес!E29</f>
        <v>9922500</v>
      </c>
      <c r="F29" s="1">
        <f>PL_мес!F29</f>
        <v>21.796424999999999</v>
      </c>
      <c r="G29" s="2">
        <f>PL_мес!G29</f>
        <v>4359285</v>
      </c>
      <c r="H29" s="2">
        <f>PL_мес!H29</f>
        <v>5563215</v>
      </c>
      <c r="I29" s="2">
        <f>IF(28&lt;=Параметры!$B$21,INDEX(Кредит_мес!$E$2:$E$61,28),0)</f>
        <v>680071.36656709493</v>
      </c>
      <c r="J29" s="2">
        <f t="shared" si="0"/>
        <v>4883143.6334329052</v>
      </c>
      <c r="K29" s="2">
        <f>J29*Параметры!$B$6</f>
        <v>97662.872668658107</v>
      </c>
      <c r="L29" s="2">
        <f t="shared" si="1"/>
        <v>4785480.7607642468</v>
      </c>
    </row>
    <row r="30" spans="1:12" x14ac:dyDescent="0.25">
      <c r="A30">
        <f>PL_мес!A30</f>
        <v>29</v>
      </c>
      <c r="B30">
        <f>PL_мес!B30</f>
        <v>3</v>
      </c>
      <c r="C30" s="2">
        <f>PL_мес!C30</f>
        <v>200000</v>
      </c>
      <c r="D30" s="2">
        <f>PL_мес!D30</f>
        <v>49.612500000000004</v>
      </c>
      <c r="E30" s="2">
        <f>PL_мес!E30</f>
        <v>9922500</v>
      </c>
      <c r="F30" s="1">
        <f>PL_мес!F30</f>
        <v>21.796424999999999</v>
      </c>
      <c r="G30" s="2">
        <f>PL_мес!G30</f>
        <v>4359285</v>
      </c>
      <c r="H30" s="2">
        <f>PL_мес!H30</f>
        <v>5563215</v>
      </c>
      <c r="I30" s="2">
        <f>IF(29&lt;=Параметры!$B$21,INDEX(Кредит_мес!$E$2:$E$61,29),0)</f>
        <v>663295.45793242753</v>
      </c>
      <c r="J30" s="2">
        <f t="shared" si="0"/>
        <v>4899919.5420675725</v>
      </c>
      <c r="K30" s="2">
        <f>J30*Параметры!$B$6</f>
        <v>97998.390841351458</v>
      </c>
      <c r="L30" s="2">
        <f t="shared" si="1"/>
        <v>4801921.1512262207</v>
      </c>
    </row>
    <row r="31" spans="1:12" x14ac:dyDescent="0.25">
      <c r="A31">
        <f>PL_мес!A31</f>
        <v>30</v>
      </c>
      <c r="B31">
        <f>PL_мес!B31</f>
        <v>3</v>
      </c>
      <c r="C31" s="2">
        <f>PL_мес!C31</f>
        <v>200000</v>
      </c>
      <c r="D31" s="2">
        <f>PL_мес!D31</f>
        <v>49.612500000000004</v>
      </c>
      <c r="E31" s="2">
        <f>PL_мес!E31</f>
        <v>9922500</v>
      </c>
      <c r="F31" s="1">
        <f>PL_мес!F31</f>
        <v>21.796424999999999</v>
      </c>
      <c r="G31" s="2">
        <f>PL_мес!G31</f>
        <v>4359285</v>
      </c>
      <c r="H31" s="2">
        <f>PL_мес!H31</f>
        <v>5563215</v>
      </c>
      <c r="I31" s="2">
        <f>IF(30&lt;=Параметры!$B$21,INDEX(Кредит_мес!$E$2:$E$61,30),0)</f>
        <v>646309.85043982661</v>
      </c>
      <c r="J31" s="2">
        <f t="shared" si="0"/>
        <v>4916905.149560173</v>
      </c>
      <c r="K31" s="2">
        <f>J31*Параметры!$B$6</f>
        <v>98338.102991203457</v>
      </c>
      <c r="L31" s="2">
        <f t="shared" si="1"/>
        <v>4818567.0465689693</v>
      </c>
    </row>
    <row r="32" spans="1:12" x14ac:dyDescent="0.25">
      <c r="A32">
        <f>PL_мес!A32</f>
        <v>31</v>
      </c>
      <c r="B32">
        <f>PL_мес!B32</f>
        <v>3</v>
      </c>
      <c r="C32" s="2">
        <f>PL_мес!C32</f>
        <v>200000</v>
      </c>
      <c r="D32" s="2">
        <f>PL_мес!D32</f>
        <v>49.612500000000004</v>
      </c>
      <c r="E32" s="2">
        <f>PL_мес!E32</f>
        <v>9922500</v>
      </c>
      <c r="F32" s="1">
        <f>PL_мес!F32</f>
        <v>21.796424999999999</v>
      </c>
      <c r="G32" s="2">
        <f>PL_мес!G32</f>
        <v>4359285</v>
      </c>
      <c r="H32" s="2">
        <f>PL_мес!H32</f>
        <v>5563215</v>
      </c>
      <c r="I32" s="2">
        <f>IF(31&lt;=Параметры!$B$21,INDEX(Кредит_мес!$E$2:$E$61,31),0)</f>
        <v>629111.92285356834</v>
      </c>
      <c r="J32" s="2">
        <f t="shared" si="0"/>
        <v>4934103.0771464314</v>
      </c>
      <c r="K32" s="2">
        <f>J32*Параметры!$B$6</f>
        <v>98682.061542928626</v>
      </c>
      <c r="L32" s="2">
        <f t="shared" si="1"/>
        <v>4835421.0156035032</v>
      </c>
    </row>
    <row r="33" spans="1:12" x14ac:dyDescent="0.25">
      <c r="A33">
        <f>PL_мес!A33</f>
        <v>32</v>
      </c>
      <c r="B33">
        <f>PL_мес!B33</f>
        <v>3</v>
      </c>
      <c r="C33" s="2">
        <f>PL_мес!C33</f>
        <v>200000</v>
      </c>
      <c r="D33" s="2">
        <f>PL_мес!D33</f>
        <v>49.612500000000004</v>
      </c>
      <c r="E33" s="2">
        <f>PL_мес!E33</f>
        <v>9922500</v>
      </c>
      <c r="F33" s="1">
        <f>PL_мес!F33</f>
        <v>21.796424999999999</v>
      </c>
      <c r="G33" s="2">
        <f>PL_мес!G33</f>
        <v>4359285</v>
      </c>
      <c r="H33" s="2">
        <f>PL_мес!H33</f>
        <v>5563215</v>
      </c>
      <c r="I33" s="2">
        <f>IF(32&lt;=Параметры!$B$21,INDEX(Кредит_мес!$E$2:$E$61,32),0)</f>
        <v>611699.02117248182</v>
      </c>
      <c r="J33" s="2">
        <f t="shared" si="0"/>
        <v>4951515.9788275184</v>
      </c>
      <c r="K33" s="2">
        <f>J33*Параметры!$B$6</f>
        <v>99030.319576550377</v>
      </c>
      <c r="L33" s="2">
        <f t="shared" si="1"/>
        <v>4852485.6592509681</v>
      </c>
    </row>
    <row r="34" spans="1:12" x14ac:dyDescent="0.25">
      <c r="A34">
        <f>PL_мес!A34</f>
        <v>33</v>
      </c>
      <c r="B34">
        <f>PL_мес!B34</f>
        <v>3</v>
      </c>
      <c r="C34" s="2">
        <f>PL_мес!C34</f>
        <v>200000</v>
      </c>
      <c r="D34" s="2">
        <f>PL_мес!D34</f>
        <v>49.612500000000004</v>
      </c>
      <c r="E34" s="2">
        <f>PL_мес!E34</f>
        <v>9922500</v>
      </c>
      <c r="F34" s="1">
        <f>PL_мес!F34</f>
        <v>21.796424999999999</v>
      </c>
      <c r="G34" s="2">
        <f>PL_мес!G34</f>
        <v>4359285</v>
      </c>
      <c r="H34" s="2">
        <f>PL_мес!H34</f>
        <v>5563215</v>
      </c>
      <c r="I34" s="2">
        <f>IF(33&lt;=Параметры!$B$21,INDEX(Кредит_мес!$E$2:$E$61,33),0)</f>
        <v>594068.45822038176</v>
      </c>
      <c r="J34" s="2">
        <f t="shared" ref="J34:J61" si="2">H34-I34</f>
        <v>4969146.5417796187</v>
      </c>
      <c r="K34" s="2">
        <f>J34*Параметры!$B$6</f>
        <v>99382.930835592371</v>
      </c>
      <c r="L34" s="2">
        <f t="shared" ref="L34:L61" si="3">J34-K34</f>
        <v>4869763.6109440261</v>
      </c>
    </row>
    <row r="35" spans="1:12" x14ac:dyDescent="0.25">
      <c r="A35">
        <f>PL_мес!A35</f>
        <v>34</v>
      </c>
      <c r="B35">
        <f>PL_мес!B35</f>
        <v>3</v>
      </c>
      <c r="C35" s="2">
        <f>PL_мес!C35</f>
        <v>200000</v>
      </c>
      <c r="D35" s="2">
        <f>PL_мес!D35</f>
        <v>49.612500000000004</v>
      </c>
      <c r="E35" s="2">
        <f>PL_мес!E35</f>
        <v>9922500</v>
      </c>
      <c r="F35" s="1">
        <f>PL_мес!F35</f>
        <v>21.796424999999999</v>
      </c>
      <c r="G35" s="2">
        <f>PL_мес!G35</f>
        <v>4359285</v>
      </c>
      <c r="H35" s="2">
        <f>PL_мес!H35</f>
        <v>5563215</v>
      </c>
      <c r="I35" s="2">
        <f>IF(34&lt;=Параметры!$B$21,INDEX(Кредит_мес!$E$2:$E$61,34),0)</f>
        <v>576217.51323138038</v>
      </c>
      <c r="J35" s="2">
        <f t="shared" si="2"/>
        <v>4986997.4867686201</v>
      </c>
      <c r="K35" s="2">
        <f>J35*Параметры!$B$6</f>
        <v>99739.9497353724</v>
      </c>
      <c r="L35" s="2">
        <f t="shared" si="3"/>
        <v>4887257.5370332478</v>
      </c>
    </row>
    <row r="36" spans="1:12" x14ac:dyDescent="0.25">
      <c r="A36">
        <f>PL_мес!A36</f>
        <v>35</v>
      </c>
      <c r="B36">
        <f>PL_мес!B36</f>
        <v>3</v>
      </c>
      <c r="C36" s="2">
        <f>PL_мес!C36</f>
        <v>200000</v>
      </c>
      <c r="D36" s="2">
        <f>PL_мес!D36</f>
        <v>49.612500000000004</v>
      </c>
      <c r="E36" s="2">
        <f>PL_мес!E36</f>
        <v>9922500</v>
      </c>
      <c r="F36" s="1">
        <f>PL_мес!F36</f>
        <v>21.796424999999999</v>
      </c>
      <c r="G36" s="2">
        <f>PL_мес!G36</f>
        <v>4359285</v>
      </c>
      <c r="H36" s="2">
        <f>PL_мес!H36</f>
        <v>5563215</v>
      </c>
      <c r="I36" s="2">
        <f>IF(35&lt;=Параметры!$B$21,INDEX(Кредит_мес!$E$2:$E$61,35),0)</f>
        <v>558143.43143001641</v>
      </c>
      <c r="J36" s="2">
        <f t="shared" si="2"/>
        <v>5005071.5685699834</v>
      </c>
      <c r="K36" s="2">
        <f>J36*Параметры!$B$6</f>
        <v>100101.43137139967</v>
      </c>
      <c r="L36" s="2">
        <f t="shared" si="3"/>
        <v>4904970.1371985842</v>
      </c>
    </row>
    <row r="37" spans="1:12" x14ac:dyDescent="0.25">
      <c r="A37">
        <f>PL_мес!A37</f>
        <v>36</v>
      </c>
      <c r="B37">
        <f>PL_мес!B37</f>
        <v>3</v>
      </c>
      <c r="C37" s="2">
        <f>PL_мес!C37</f>
        <v>200000</v>
      </c>
      <c r="D37" s="2">
        <f>PL_мес!D37</f>
        <v>49.612500000000004</v>
      </c>
      <c r="E37" s="2">
        <f>PL_мес!E37</f>
        <v>9922500</v>
      </c>
      <c r="F37" s="1">
        <f>PL_мес!F37</f>
        <v>21.796424999999999</v>
      </c>
      <c r="G37" s="2">
        <f>PL_мес!G37</f>
        <v>4359285</v>
      </c>
      <c r="H37" s="2">
        <f>PL_мес!H37</f>
        <v>5563215</v>
      </c>
      <c r="I37" s="2">
        <f>IF(36&lt;=Параметры!$B$21,INDEX(Кредит_мес!$E$2:$E$61,36),0)</f>
        <v>539843.42360613542</v>
      </c>
      <c r="J37" s="2">
        <f t="shared" si="2"/>
        <v>5023371.576393865</v>
      </c>
      <c r="K37" s="2">
        <f>J37*Параметры!$B$6</f>
        <v>100467.4315278773</v>
      </c>
      <c r="L37" s="2">
        <f t="shared" si="3"/>
        <v>4922904.1448659878</v>
      </c>
    </row>
    <row r="38" spans="1:12" x14ac:dyDescent="0.25">
      <c r="A38">
        <f>PL_мес!A38</f>
        <v>37</v>
      </c>
      <c r="B38">
        <f>PL_мес!B38</f>
        <v>4</v>
      </c>
      <c r="C38" s="2">
        <f>PL_мес!C38</f>
        <v>200000</v>
      </c>
      <c r="D38" s="2">
        <f>PL_мес!D38</f>
        <v>52.093125000000008</v>
      </c>
      <c r="E38" s="2">
        <f>PL_мес!E38</f>
        <v>10418625.000000002</v>
      </c>
      <c r="F38" s="1">
        <f>PL_мес!F38</f>
        <v>22.886246250000003</v>
      </c>
      <c r="G38" s="2">
        <f>PL_мес!G38</f>
        <v>4577249.2500000009</v>
      </c>
      <c r="H38" s="2">
        <f>PL_мес!H38</f>
        <v>5841375.7500000009</v>
      </c>
      <c r="I38" s="2">
        <f>IF(37&lt;=Параметры!$B$21,INDEX(Кредит_мес!$E$2:$E$61,37),0)</f>
        <v>521314.66568445595</v>
      </c>
      <c r="J38" s="2">
        <f t="shared" si="2"/>
        <v>5320061.0843155449</v>
      </c>
      <c r="K38" s="2">
        <f>J38*Параметры!$B$6</f>
        <v>106401.22168631091</v>
      </c>
      <c r="L38" s="2">
        <f t="shared" si="3"/>
        <v>5213659.8626292339</v>
      </c>
    </row>
    <row r="39" spans="1:12" x14ac:dyDescent="0.25">
      <c r="A39">
        <f>PL_мес!A39</f>
        <v>38</v>
      </c>
      <c r="B39">
        <f>PL_мес!B39</f>
        <v>4</v>
      </c>
      <c r="C39" s="2">
        <f>PL_мес!C39</f>
        <v>200000</v>
      </c>
      <c r="D39" s="2">
        <f>PL_мес!D39</f>
        <v>52.093125000000008</v>
      </c>
      <c r="E39" s="2">
        <f>PL_мес!E39</f>
        <v>10418625.000000002</v>
      </c>
      <c r="F39" s="1">
        <f>PL_мес!F39</f>
        <v>22.886246250000003</v>
      </c>
      <c r="G39" s="2">
        <f>PL_мес!G39</f>
        <v>4577249.2500000009</v>
      </c>
      <c r="H39" s="2">
        <f>PL_мес!H39</f>
        <v>5841375.7500000009</v>
      </c>
      <c r="I39" s="2">
        <f>IF(38&lt;=Параметры!$B$21,INDEX(Кредит_мес!$E$2:$E$61,38),0)</f>
        <v>502554.29828875553</v>
      </c>
      <c r="J39" s="2">
        <f t="shared" si="2"/>
        <v>5338821.4517112458</v>
      </c>
      <c r="K39" s="2">
        <f>J39*Параметры!$B$6</f>
        <v>106776.42903422492</v>
      </c>
      <c r="L39" s="2">
        <f t="shared" si="3"/>
        <v>5232045.0226770211</v>
      </c>
    </row>
    <row r="40" spans="1:12" x14ac:dyDescent="0.25">
      <c r="A40">
        <f>PL_мес!A40</f>
        <v>39</v>
      </c>
      <c r="B40">
        <f>PL_мес!B40</f>
        <v>4</v>
      </c>
      <c r="C40" s="2">
        <f>PL_мес!C40</f>
        <v>200000</v>
      </c>
      <c r="D40" s="2">
        <f>PL_мес!D40</f>
        <v>52.093125000000008</v>
      </c>
      <c r="E40" s="2">
        <f>PL_мес!E40</f>
        <v>10418625.000000002</v>
      </c>
      <c r="F40" s="1">
        <f>PL_мес!F40</f>
        <v>22.886246250000003</v>
      </c>
      <c r="G40" s="2">
        <f>PL_мес!G40</f>
        <v>4577249.2500000009</v>
      </c>
      <c r="H40" s="2">
        <f>PL_мес!H40</f>
        <v>5841375.7500000009</v>
      </c>
      <c r="I40" s="2">
        <f>IF(39&lt;=Параметры!$B$21,INDEX(Кредит_мес!$E$2:$E$61,39),0)</f>
        <v>483559.42630060879</v>
      </c>
      <c r="J40" s="2">
        <f t="shared" si="2"/>
        <v>5357816.3236993924</v>
      </c>
      <c r="K40" s="2">
        <f>J40*Параметры!$B$6</f>
        <v>107156.32647398785</v>
      </c>
      <c r="L40" s="2">
        <f t="shared" si="3"/>
        <v>5250659.9972254047</v>
      </c>
    </row>
    <row r="41" spans="1:12" x14ac:dyDescent="0.25">
      <c r="A41">
        <f>PL_мес!A41</f>
        <v>40</v>
      </c>
      <c r="B41">
        <f>PL_мес!B41</f>
        <v>4</v>
      </c>
      <c r="C41" s="2">
        <f>PL_мес!C41</f>
        <v>200000</v>
      </c>
      <c r="D41" s="2">
        <f>PL_мес!D41</f>
        <v>52.093125000000008</v>
      </c>
      <c r="E41" s="2">
        <f>PL_мес!E41</f>
        <v>10418625.000000002</v>
      </c>
      <c r="F41" s="1">
        <f>PL_мес!F41</f>
        <v>22.886246250000003</v>
      </c>
      <c r="G41" s="2">
        <f>PL_мес!G41</f>
        <v>4577249.2500000009</v>
      </c>
      <c r="H41" s="2">
        <f>PL_мес!H41</f>
        <v>5841375.7500000009</v>
      </c>
      <c r="I41" s="2">
        <f>IF(40&lt;=Параметры!$B$21,INDEX(Кредит_мес!$E$2:$E$61,40),0)</f>
        <v>464327.11841261032</v>
      </c>
      <c r="J41" s="2">
        <f t="shared" si="2"/>
        <v>5377048.6315873908</v>
      </c>
      <c r="K41" s="2">
        <f>J41*Параметры!$B$6</f>
        <v>107540.97263174782</v>
      </c>
      <c r="L41" s="2">
        <f t="shared" si="3"/>
        <v>5269507.658955643</v>
      </c>
    </row>
    <row r="42" spans="1:12" x14ac:dyDescent="0.25">
      <c r="A42">
        <f>PL_мес!A42</f>
        <v>41</v>
      </c>
      <c r="B42">
        <f>PL_мес!B42</f>
        <v>4</v>
      </c>
      <c r="C42" s="2">
        <f>PL_мес!C42</f>
        <v>200000</v>
      </c>
      <c r="D42" s="2">
        <f>PL_мес!D42</f>
        <v>52.093125000000008</v>
      </c>
      <c r="E42" s="2">
        <f>PL_мес!E42</f>
        <v>10418625.000000002</v>
      </c>
      <c r="F42" s="1">
        <f>PL_мес!F42</f>
        <v>22.886246250000003</v>
      </c>
      <c r="G42" s="2">
        <f>PL_мес!G42</f>
        <v>4577249.2500000009</v>
      </c>
      <c r="H42" s="2">
        <f>PL_мес!H42</f>
        <v>5841375.7500000009</v>
      </c>
      <c r="I42" s="2">
        <f>IF(41&lt;=Параметры!$B$21,INDEX(Кредит_мес!$E$2:$E$61,41),0)</f>
        <v>444854.4066760118</v>
      </c>
      <c r="J42" s="2">
        <f t="shared" si="2"/>
        <v>5396521.3433239888</v>
      </c>
      <c r="K42" s="2">
        <f>J42*Параметры!$B$6</f>
        <v>107930.42686647979</v>
      </c>
      <c r="L42" s="2">
        <f t="shared" si="3"/>
        <v>5288590.9164575087</v>
      </c>
    </row>
    <row r="43" spans="1:12" x14ac:dyDescent="0.25">
      <c r="A43">
        <f>PL_мес!A43</f>
        <v>42</v>
      </c>
      <c r="B43">
        <f>PL_мес!B43</f>
        <v>4</v>
      </c>
      <c r="C43" s="2">
        <f>PL_мес!C43</f>
        <v>200000</v>
      </c>
      <c r="D43" s="2">
        <f>PL_мес!D43</f>
        <v>52.093125000000008</v>
      </c>
      <c r="E43" s="2">
        <f>PL_мес!E43</f>
        <v>10418625.000000002</v>
      </c>
      <c r="F43" s="1">
        <f>PL_мес!F43</f>
        <v>22.886246250000003</v>
      </c>
      <c r="G43" s="2">
        <f>PL_мес!G43</f>
        <v>4577249.2500000009</v>
      </c>
      <c r="H43" s="2">
        <f>PL_мес!H43</f>
        <v>5841375.7500000009</v>
      </c>
      <c r="I43" s="2">
        <f>IF(42&lt;=Параметры!$B$21,INDEX(Кредит_мес!$E$2:$E$61,42),0)</f>
        <v>425138.28604270582</v>
      </c>
      <c r="J43" s="2">
        <f t="shared" si="2"/>
        <v>5416237.4639572948</v>
      </c>
      <c r="K43" s="2">
        <f>J43*Параметры!$B$6</f>
        <v>108324.74927914589</v>
      </c>
      <c r="L43" s="2">
        <f t="shared" si="3"/>
        <v>5307912.7146781487</v>
      </c>
    </row>
    <row r="44" spans="1:12" x14ac:dyDescent="0.25">
      <c r="A44">
        <f>PL_мес!A44</f>
        <v>43</v>
      </c>
      <c r="B44">
        <f>PL_мес!B44</f>
        <v>4</v>
      </c>
      <c r="C44" s="2">
        <f>PL_мес!C44</f>
        <v>200000</v>
      </c>
      <c r="D44" s="2">
        <f>PL_мес!D44</f>
        <v>52.093125000000008</v>
      </c>
      <c r="E44" s="2">
        <f>PL_мес!E44</f>
        <v>10418625.000000002</v>
      </c>
      <c r="F44" s="1">
        <f>PL_мес!F44</f>
        <v>22.886246250000003</v>
      </c>
      <c r="G44" s="2">
        <f>PL_мес!G44</f>
        <v>4577249.2500000009</v>
      </c>
      <c r="H44" s="2">
        <f>PL_мес!H44</f>
        <v>5841375.7500000009</v>
      </c>
      <c r="I44" s="2">
        <f>IF(43&lt;=Параметры!$B$21,INDEX(Кредит_мес!$E$2:$E$61,43),0)</f>
        <v>405175.71390148345</v>
      </c>
      <c r="J44" s="2">
        <f t="shared" si="2"/>
        <v>5436200.0360985175</v>
      </c>
      <c r="K44" s="2">
        <f>J44*Параметры!$B$6</f>
        <v>108724.00072197035</v>
      </c>
      <c r="L44" s="2">
        <f t="shared" si="3"/>
        <v>5327476.0353765469</v>
      </c>
    </row>
    <row r="45" spans="1:12" x14ac:dyDescent="0.25">
      <c r="A45">
        <f>PL_мес!A45</f>
        <v>44</v>
      </c>
      <c r="B45">
        <f>PL_мес!B45</f>
        <v>4</v>
      </c>
      <c r="C45" s="2">
        <f>PL_мес!C45</f>
        <v>200000</v>
      </c>
      <c r="D45" s="2">
        <f>PL_мес!D45</f>
        <v>52.093125000000008</v>
      </c>
      <c r="E45" s="2">
        <f>PL_мес!E45</f>
        <v>10418625.000000002</v>
      </c>
      <c r="F45" s="1">
        <f>PL_мес!F45</f>
        <v>22.886246250000003</v>
      </c>
      <c r="G45" s="2">
        <f>PL_мес!G45</f>
        <v>4577249.2500000009</v>
      </c>
      <c r="H45" s="2">
        <f>PL_мес!H45</f>
        <v>5841375.7500000009</v>
      </c>
      <c r="I45" s="2">
        <f>IF(44&lt;=Параметры!$B$21,INDEX(Кредит_мес!$E$2:$E$61,44),0)</f>
        <v>384963.60960849584</v>
      </c>
      <c r="J45" s="2">
        <f t="shared" si="2"/>
        <v>5456412.1403915053</v>
      </c>
      <c r="K45" s="2">
        <f>J45*Параметры!$B$6</f>
        <v>109128.2428078301</v>
      </c>
      <c r="L45" s="2">
        <f t="shared" si="3"/>
        <v>5347283.8975836756</v>
      </c>
    </row>
    <row r="46" spans="1:12" x14ac:dyDescent="0.25">
      <c r="A46">
        <f>PL_мес!A46</f>
        <v>45</v>
      </c>
      <c r="B46">
        <f>PL_мес!B46</f>
        <v>4</v>
      </c>
      <c r="C46" s="2">
        <f>PL_мес!C46</f>
        <v>200000</v>
      </c>
      <c r="D46" s="2">
        <f>PL_мес!D46</f>
        <v>52.093125000000008</v>
      </c>
      <c r="E46" s="2">
        <f>PL_мес!E46</f>
        <v>10418625.000000002</v>
      </c>
      <c r="F46" s="1">
        <f>PL_мес!F46</f>
        <v>22.886246250000003</v>
      </c>
      <c r="G46" s="2">
        <f>PL_мес!G46</f>
        <v>4577249.2500000009</v>
      </c>
      <c r="H46" s="2">
        <f>PL_мес!H46</f>
        <v>5841375.7500000009</v>
      </c>
      <c r="I46" s="2">
        <f>IF(45&lt;=Параметры!$B$21,INDEX(Кредит_мес!$E$2:$E$61,45),0)</f>
        <v>364498.85401184589</v>
      </c>
      <c r="J46" s="2">
        <f t="shared" si="2"/>
        <v>5476876.8959881552</v>
      </c>
      <c r="K46" s="2">
        <f>J46*Параметры!$B$6</f>
        <v>109537.53791976311</v>
      </c>
      <c r="L46" s="2">
        <f t="shared" si="3"/>
        <v>5367339.3580683917</v>
      </c>
    </row>
    <row r="47" spans="1:12" x14ac:dyDescent="0.25">
      <c r="A47">
        <f>PL_мес!A47</f>
        <v>46</v>
      </c>
      <c r="B47">
        <f>PL_мес!B47</f>
        <v>4</v>
      </c>
      <c r="C47" s="2">
        <f>PL_мес!C47</f>
        <v>200000</v>
      </c>
      <c r="D47" s="2">
        <f>PL_мес!D47</f>
        <v>52.093125000000008</v>
      </c>
      <c r="E47" s="2">
        <f>PL_мес!E47</f>
        <v>10418625.000000002</v>
      </c>
      <c r="F47" s="1">
        <f>PL_мес!F47</f>
        <v>22.886246250000003</v>
      </c>
      <c r="G47" s="2">
        <f>PL_мес!G47</f>
        <v>4577249.2500000009</v>
      </c>
      <c r="H47" s="2">
        <f>PL_мес!H47</f>
        <v>5841375.7500000009</v>
      </c>
      <c r="I47" s="2">
        <f>IF(46&lt;=Параметры!$B$21,INDEX(Кредит_мес!$E$2:$E$61,46),0)</f>
        <v>343778.28897023783</v>
      </c>
      <c r="J47" s="2">
        <f t="shared" si="2"/>
        <v>5497597.4610297633</v>
      </c>
      <c r="K47" s="2">
        <f>J47*Параметры!$B$6</f>
        <v>109951.94922059527</v>
      </c>
      <c r="L47" s="2">
        <f t="shared" si="3"/>
        <v>5387645.5118091684</v>
      </c>
    </row>
    <row r="48" spans="1:12" x14ac:dyDescent="0.25">
      <c r="A48">
        <f>PL_мес!A48</f>
        <v>47</v>
      </c>
      <c r="B48">
        <f>PL_мес!B48</f>
        <v>4</v>
      </c>
      <c r="C48" s="2">
        <f>PL_мес!C48</f>
        <v>200000</v>
      </c>
      <c r="D48" s="2">
        <f>PL_мес!D48</f>
        <v>52.093125000000008</v>
      </c>
      <c r="E48" s="2">
        <f>PL_мес!E48</f>
        <v>10418625.000000002</v>
      </c>
      <c r="F48" s="1">
        <f>PL_мес!F48</f>
        <v>22.886246250000003</v>
      </c>
      <c r="G48" s="2">
        <f>PL_мес!G48</f>
        <v>4577249.2500000009</v>
      </c>
      <c r="H48" s="2">
        <f>PL_мес!H48</f>
        <v>5841375.7500000009</v>
      </c>
      <c r="I48" s="2">
        <f>IF(47&lt;=Параметры!$B$21,INDEX(Кредит_мес!$E$2:$E$61,47),0)</f>
        <v>322798.71686560963</v>
      </c>
      <c r="J48" s="2">
        <f t="shared" si="2"/>
        <v>5518577.0331343915</v>
      </c>
      <c r="K48" s="2">
        <f>J48*Параметры!$B$6</f>
        <v>110371.54066268784</v>
      </c>
      <c r="L48" s="2">
        <f t="shared" si="3"/>
        <v>5408205.4924717033</v>
      </c>
    </row>
    <row r="49" spans="1:12" x14ac:dyDescent="0.25">
      <c r="A49">
        <f>PL_мес!A49</f>
        <v>48</v>
      </c>
      <c r="B49">
        <f>PL_мес!B49</f>
        <v>4</v>
      </c>
      <c r="C49" s="2">
        <f>PL_мес!C49</f>
        <v>200000</v>
      </c>
      <c r="D49" s="2">
        <f>PL_мес!D49</f>
        <v>52.093125000000008</v>
      </c>
      <c r="E49" s="2">
        <f>PL_мес!E49</f>
        <v>10418625.000000002</v>
      </c>
      <c r="F49" s="1">
        <f>PL_мес!F49</f>
        <v>22.886246250000003</v>
      </c>
      <c r="G49" s="2">
        <f>PL_мес!G49</f>
        <v>4577249.2500000009</v>
      </c>
      <c r="H49" s="2">
        <f>PL_мес!H49</f>
        <v>5841375.7500000009</v>
      </c>
      <c r="I49" s="2">
        <f>IF(48&lt;=Параметры!$B$21,INDEX(Кредит_мес!$E$2:$E$61,48),0)</f>
        <v>301556.90010967362</v>
      </c>
      <c r="J49" s="2">
        <f t="shared" si="2"/>
        <v>5539818.8498903271</v>
      </c>
      <c r="K49" s="2">
        <f>J49*Параметры!$B$6</f>
        <v>110796.37699780654</v>
      </c>
      <c r="L49" s="2">
        <f t="shared" si="3"/>
        <v>5429022.4728925209</v>
      </c>
    </row>
    <row r="50" spans="1:12" x14ac:dyDescent="0.25">
      <c r="A50">
        <f>PL_мес!A50</f>
        <v>49</v>
      </c>
      <c r="B50">
        <f>PL_мес!B50</f>
        <v>5</v>
      </c>
      <c r="C50" s="2">
        <f>PL_мес!C50</f>
        <v>200000</v>
      </c>
      <c r="D50" s="2">
        <f>PL_мес!D50</f>
        <v>54.697781249999998</v>
      </c>
      <c r="E50" s="2">
        <f>PL_мес!E50</f>
        <v>10939556.25</v>
      </c>
      <c r="F50" s="1">
        <f>PL_мес!F50</f>
        <v>24.030558562500001</v>
      </c>
      <c r="G50" s="2">
        <f>PL_мес!G50</f>
        <v>4806111.7125000004</v>
      </c>
      <c r="H50" s="2">
        <f>PL_мес!H50</f>
        <v>6133444.5374999996</v>
      </c>
      <c r="I50" s="2">
        <f>IF(49&lt;=Параметры!$B$21,INDEX(Кредит_мес!$E$2:$E$61,49),0)</f>
        <v>280049.56064428831</v>
      </c>
      <c r="J50" s="2">
        <f t="shared" si="2"/>
        <v>5853394.9768557111</v>
      </c>
      <c r="K50" s="2">
        <f>J50*Параметры!$B$6</f>
        <v>117067.89953711422</v>
      </c>
      <c r="L50" s="2">
        <f t="shared" si="3"/>
        <v>5736327.0773185967</v>
      </c>
    </row>
    <row r="51" spans="1:12" x14ac:dyDescent="0.25">
      <c r="A51">
        <f>PL_мес!A51</f>
        <v>50</v>
      </c>
      <c r="B51">
        <f>PL_мес!B51</f>
        <v>5</v>
      </c>
      <c r="C51" s="2">
        <f>PL_мес!C51</f>
        <v>200000</v>
      </c>
      <c r="D51" s="2">
        <f>PL_мес!D51</f>
        <v>54.697781249999998</v>
      </c>
      <c r="E51" s="2">
        <f>PL_мес!E51</f>
        <v>10939556.25</v>
      </c>
      <c r="F51" s="1">
        <f>PL_мес!F51</f>
        <v>24.030558562500001</v>
      </c>
      <c r="G51" s="2">
        <f>PL_мес!G51</f>
        <v>4806111.7125000004</v>
      </c>
      <c r="H51" s="2">
        <f>PL_мес!H51</f>
        <v>6133444.5374999996</v>
      </c>
      <c r="I51" s="2">
        <f>IF(50&lt;=Параметры!$B$21,INDEX(Кредит_мес!$E$2:$E$61,50),0)</f>
        <v>258273.37943558578</v>
      </c>
      <c r="J51" s="2">
        <f t="shared" si="2"/>
        <v>5875171.1580644138</v>
      </c>
      <c r="K51" s="2">
        <f>J51*Параметры!$B$6</f>
        <v>117503.42316128827</v>
      </c>
      <c r="L51" s="2">
        <f t="shared" si="3"/>
        <v>5757667.7349031251</v>
      </c>
    </row>
    <row r="52" spans="1:12" x14ac:dyDescent="0.25">
      <c r="A52">
        <f>PL_мес!A52</f>
        <v>51</v>
      </c>
      <c r="B52">
        <f>PL_мес!B52</f>
        <v>5</v>
      </c>
      <c r="C52" s="2">
        <f>PL_мес!C52</f>
        <v>200000</v>
      </c>
      <c r="D52" s="2">
        <f>PL_мес!D52</f>
        <v>54.697781249999998</v>
      </c>
      <c r="E52" s="2">
        <f>PL_мес!E52</f>
        <v>10939556.25</v>
      </c>
      <c r="F52" s="1">
        <f>PL_мес!F52</f>
        <v>24.030558562500001</v>
      </c>
      <c r="G52" s="2">
        <f>PL_мес!G52</f>
        <v>4806111.7125000004</v>
      </c>
      <c r="H52" s="2">
        <f>PL_мес!H52</f>
        <v>6133444.5374999996</v>
      </c>
      <c r="I52" s="2">
        <f>IF(51&lt;=Параметры!$B$21,INDEX(Кредит_мес!$E$2:$E$61,51),0)</f>
        <v>236224.99596177446</v>
      </c>
      <c r="J52" s="2">
        <f t="shared" si="2"/>
        <v>5897219.5415382255</v>
      </c>
      <c r="K52" s="2">
        <f>J52*Параметры!$B$6</f>
        <v>117944.39083076452</v>
      </c>
      <c r="L52" s="2">
        <f t="shared" si="3"/>
        <v>5779275.1507074609</v>
      </c>
    </row>
    <row r="53" spans="1:12" x14ac:dyDescent="0.25">
      <c r="A53">
        <f>PL_мес!A53</f>
        <v>52</v>
      </c>
      <c r="B53">
        <f>PL_мес!B53</f>
        <v>5</v>
      </c>
      <c r="C53" s="2">
        <f>PL_мес!C53</f>
        <v>200000</v>
      </c>
      <c r="D53" s="2">
        <f>PL_мес!D53</f>
        <v>54.697781249999998</v>
      </c>
      <c r="E53" s="2">
        <f>PL_мес!E53</f>
        <v>10939556.25</v>
      </c>
      <c r="F53" s="1">
        <f>PL_мес!F53</f>
        <v>24.030558562500001</v>
      </c>
      <c r="G53" s="2">
        <f>PL_мес!G53</f>
        <v>4806111.7125000004</v>
      </c>
      <c r="H53" s="2">
        <f>PL_мес!H53</f>
        <v>6133444.5374999996</v>
      </c>
      <c r="I53" s="2">
        <f>IF(52&lt;=Параметры!$B$21,INDEX(Кредит_мес!$E$2:$E$61,52),0)</f>
        <v>213901.00769454049</v>
      </c>
      <c r="J53" s="2">
        <f t="shared" si="2"/>
        <v>5919543.5298054591</v>
      </c>
      <c r="K53" s="2">
        <f>J53*Параметры!$B$6</f>
        <v>118390.87059610919</v>
      </c>
      <c r="L53" s="2">
        <f t="shared" si="3"/>
        <v>5801152.6592093501</v>
      </c>
    </row>
    <row r="54" spans="1:12" x14ac:dyDescent="0.25">
      <c r="A54">
        <f>PL_мес!A54</f>
        <v>53</v>
      </c>
      <c r="B54">
        <f>PL_мес!B54</f>
        <v>5</v>
      </c>
      <c r="C54" s="2">
        <f>PL_мес!C54</f>
        <v>200000</v>
      </c>
      <c r="D54" s="2">
        <f>PL_мес!D54</f>
        <v>54.697781249999998</v>
      </c>
      <c r="E54" s="2">
        <f>PL_мес!E54</f>
        <v>10939556.25</v>
      </c>
      <c r="F54" s="1">
        <f>PL_мес!F54</f>
        <v>24.030558562500001</v>
      </c>
      <c r="G54" s="2">
        <f>PL_мес!G54</f>
        <v>4806111.7125000004</v>
      </c>
      <c r="H54" s="2">
        <f>PL_мес!H54</f>
        <v>6133444.5374999996</v>
      </c>
      <c r="I54" s="2">
        <f>IF(53&lt;=Параметры!$B$21,INDEX(Кредит_мес!$E$2:$E$61,53),0)</f>
        <v>191297.96957396608</v>
      </c>
      <c r="J54" s="2">
        <f t="shared" si="2"/>
        <v>5942146.5679260334</v>
      </c>
      <c r="K54" s="2">
        <f>J54*Параметры!$B$6</f>
        <v>118842.93135852067</v>
      </c>
      <c r="L54" s="2">
        <f t="shared" si="3"/>
        <v>5823303.6365675125</v>
      </c>
    </row>
    <row r="55" spans="1:12" x14ac:dyDescent="0.25">
      <c r="A55">
        <f>PL_мес!A55</f>
        <v>54</v>
      </c>
      <c r="B55">
        <f>PL_мес!B55</f>
        <v>5</v>
      </c>
      <c r="C55" s="2">
        <f>PL_мес!C55</f>
        <v>200000</v>
      </c>
      <c r="D55" s="2">
        <f>PL_мес!D55</f>
        <v>54.697781249999998</v>
      </c>
      <c r="E55" s="2">
        <f>PL_мес!E55</f>
        <v>10939556.25</v>
      </c>
      <c r="F55" s="1">
        <f>PL_мес!F55</f>
        <v>24.030558562500001</v>
      </c>
      <c r="G55" s="2">
        <f>PL_мес!G55</f>
        <v>4806111.7125000004</v>
      </c>
      <c r="H55" s="2">
        <f>PL_мес!H55</f>
        <v>6133444.5374999996</v>
      </c>
      <c r="I55" s="2">
        <f>IF(54&lt;=Параметры!$B$21,INDEX(Кредит_мес!$E$2:$E$61,54),0)</f>
        <v>168412.39347688449</v>
      </c>
      <c r="J55" s="2">
        <f t="shared" si="2"/>
        <v>5965032.1440231148</v>
      </c>
      <c r="K55" s="2">
        <f>J55*Параметры!$B$6</f>
        <v>119300.6428804623</v>
      </c>
      <c r="L55" s="2">
        <f t="shared" si="3"/>
        <v>5845731.5011426527</v>
      </c>
    </row>
    <row r="56" spans="1:12" x14ac:dyDescent="0.25">
      <c r="A56">
        <f>PL_мес!A56</f>
        <v>55</v>
      </c>
      <c r="B56">
        <f>PL_мес!B56</f>
        <v>5</v>
      </c>
      <c r="C56" s="2">
        <f>PL_мес!C56</f>
        <v>200000</v>
      </c>
      <c r="D56" s="2">
        <f>PL_мес!D56</f>
        <v>54.697781249999998</v>
      </c>
      <c r="E56" s="2">
        <f>PL_мес!E56</f>
        <v>10939556.25</v>
      </c>
      <c r="F56" s="1">
        <f>PL_мес!F56</f>
        <v>24.030558562500001</v>
      </c>
      <c r="G56" s="2">
        <f>PL_мес!G56</f>
        <v>4806111.7125000004</v>
      </c>
      <c r="H56" s="2">
        <f>PL_мес!H56</f>
        <v>6133444.5374999996</v>
      </c>
      <c r="I56" s="2">
        <f>IF(55&lt;=Параметры!$B$21,INDEX(Кредит_мес!$E$2:$E$61,55),0)</f>
        <v>145240.7476785894</v>
      </c>
      <c r="J56" s="2">
        <f t="shared" si="2"/>
        <v>5988203.7898214106</v>
      </c>
      <c r="K56" s="2">
        <f>J56*Параметры!$B$6</f>
        <v>119764.07579642821</v>
      </c>
      <c r="L56" s="2">
        <f t="shared" si="3"/>
        <v>5868439.7140249824</v>
      </c>
    </row>
    <row r="57" spans="1:12" x14ac:dyDescent="0.25">
      <c r="A57">
        <f>PL_мес!A57</f>
        <v>56</v>
      </c>
      <c r="B57">
        <f>PL_мес!B57</f>
        <v>5</v>
      </c>
      <c r="C57" s="2">
        <f>PL_мес!C57</f>
        <v>200000</v>
      </c>
      <c r="D57" s="2">
        <f>PL_мес!D57</f>
        <v>54.697781249999998</v>
      </c>
      <c r="E57" s="2">
        <f>PL_мес!E57</f>
        <v>10939556.25</v>
      </c>
      <c r="F57" s="1">
        <f>PL_мес!F57</f>
        <v>24.030558562500001</v>
      </c>
      <c r="G57" s="2">
        <f>PL_мес!G57</f>
        <v>4806111.7125000004</v>
      </c>
      <c r="H57" s="2">
        <f>PL_мес!H57</f>
        <v>6133444.5374999996</v>
      </c>
      <c r="I57" s="2">
        <f>IF(56&lt;=Параметры!$B$21,INDEX(Кредит_мес!$E$2:$E$61,56),0)</f>
        <v>121779.45630781561</v>
      </c>
      <c r="J57" s="2">
        <f t="shared" si="2"/>
        <v>6011665.0811921842</v>
      </c>
      <c r="K57" s="2">
        <f>J57*Параметры!$B$6</f>
        <v>120233.30162384368</v>
      </c>
      <c r="L57" s="2">
        <f t="shared" si="3"/>
        <v>5891431.7795683406</v>
      </c>
    </row>
    <row r="58" spans="1:12" x14ac:dyDescent="0.25">
      <c r="A58">
        <f>PL_мес!A58</f>
        <v>57</v>
      </c>
      <c r="B58">
        <f>PL_мес!B58</f>
        <v>5</v>
      </c>
      <c r="C58" s="2">
        <f>PL_мес!C58</f>
        <v>200000</v>
      </c>
      <c r="D58" s="2">
        <f>PL_мес!D58</f>
        <v>54.697781249999998</v>
      </c>
      <c r="E58" s="2">
        <f>PL_мес!E58</f>
        <v>10939556.25</v>
      </c>
      <c r="F58" s="1">
        <f>PL_мес!F58</f>
        <v>24.030558562500001</v>
      </c>
      <c r="G58" s="2">
        <f>PL_мес!G58</f>
        <v>4806111.7125000004</v>
      </c>
      <c r="H58" s="2">
        <f>PL_мес!H58</f>
        <v>6133444.5374999996</v>
      </c>
      <c r="I58" s="2">
        <f>IF(57&lt;=Параметры!$B$21,INDEX(Кредит_мес!$E$2:$E$61,57),0)</f>
        <v>98024.898794907145</v>
      </c>
      <c r="J58" s="2">
        <f t="shared" si="2"/>
        <v>6035419.6387050925</v>
      </c>
      <c r="K58" s="2">
        <f>J58*Параметры!$B$6</f>
        <v>120708.39277410186</v>
      </c>
      <c r="L58" s="2">
        <f t="shared" si="3"/>
        <v>5914711.2459309902</v>
      </c>
    </row>
    <row r="59" spans="1:12" x14ac:dyDescent="0.25">
      <c r="A59">
        <f>PL_мес!A59</f>
        <v>58</v>
      </c>
      <c r="B59">
        <f>PL_мес!B59</f>
        <v>5</v>
      </c>
      <c r="C59" s="2">
        <f>PL_мес!C59</f>
        <v>200000</v>
      </c>
      <c r="D59" s="2">
        <f>PL_мес!D59</f>
        <v>54.697781249999998</v>
      </c>
      <c r="E59" s="2">
        <f>PL_мес!E59</f>
        <v>10939556.25</v>
      </c>
      <c r="F59" s="1">
        <f>PL_мес!F59</f>
        <v>24.030558562500001</v>
      </c>
      <c r="G59" s="2">
        <f>PL_мес!G59</f>
        <v>4806111.7125000004</v>
      </c>
      <c r="H59" s="2">
        <f>PL_мес!H59</f>
        <v>6133444.5374999996</v>
      </c>
      <c r="I59" s="2">
        <f>IF(58&lt;=Параметры!$B$21,INDEX(Кредит_мес!$E$2:$E$61,58),0)</f>
        <v>73973.409313087337</v>
      </c>
      <c r="J59" s="2">
        <f t="shared" si="2"/>
        <v>6059471.1281869123</v>
      </c>
      <c r="K59" s="2">
        <f>J59*Параметры!$B$6</f>
        <v>121189.42256373825</v>
      </c>
      <c r="L59" s="2">
        <f t="shared" si="3"/>
        <v>5938281.7056231741</v>
      </c>
    </row>
    <row r="60" spans="1:12" x14ac:dyDescent="0.25">
      <c r="A60">
        <f>PL_мес!A60</f>
        <v>59</v>
      </c>
      <c r="B60">
        <f>PL_мес!B60</f>
        <v>5</v>
      </c>
      <c r="C60" s="2">
        <f>PL_мес!C60</f>
        <v>200000</v>
      </c>
      <c r="D60" s="2">
        <f>PL_мес!D60</f>
        <v>54.697781249999998</v>
      </c>
      <c r="E60" s="2">
        <f>PL_мес!E60</f>
        <v>10939556.25</v>
      </c>
      <c r="F60" s="1">
        <f>PL_мес!F60</f>
        <v>24.030558562500001</v>
      </c>
      <c r="G60" s="2">
        <f>PL_мес!G60</f>
        <v>4806111.7125000004</v>
      </c>
      <c r="H60" s="2">
        <f>PL_мес!H60</f>
        <v>6133444.5374999996</v>
      </c>
      <c r="I60" s="2">
        <f>IF(59&lt;=Параметры!$B$21,INDEX(Кредит_мес!$E$2:$E$61,59),0)</f>
        <v>49621.276212744771</v>
      </c>
      <c r="J60" s="2">
        <f t="shared" si="2"/>
        <v>6083823.2612872552</v>
      </c>
      <c r="K60" s="2">
        <f>J60*Параметры!$B$6</f>
        <v>121676.46522574511</v>
      </c>
      <c r="L60" s="2">
        <f t="shared" si="3"/>
        <v>5962146.7960615102</v>
      </c>
    </row>
    <row r="61" spans="1:12" x14ac:dyDescent="0.25">
      <c r="A61">
        <f>PL_мес!A61</f>
        <v>60</v>
      </c>
      <c r="B61">
        <f>PL_мес!B61</f>
        <v>5</v>
      </c>
      <c r="C61" s="2">
        <f>PL_мес!C61</f>
        <v>200000</v>
      </c>
      <c r="D61" s="2">
        <f>PL_мес!D61</f>
        <v>54.697781249999998</v>
      </c>
      <c r="E61" s="2">
        <f>PL_мес!E61</f>
        <v>10939556.25</v>
      </c>
      <c r="F61" s="1">
        <f>PL_мес!F61</f>
        <v>24.030558562500001</v>
      </c>
      <c r="G61" s="2">
        <f>PL_мес!G61</f>
        <v>4806111.7125000004</v>
      </c>
      <c r="H61" s="2">
        <f>PL_мес!H61</f>
        <v>6133444.5374999996</v>
      </c>
      <c r="I61" s="2">
        <f>IF(60&lt;=Параметры!$B$21,INDEX(Кредит_мес!$E$2:$E$61,60),0)</f>
        <v>24964.741448647928</v>
      </c>
      <c r="J61" s="2">
        <f t="shared" si="2"/>
        <v>6108479.7960513514</v>
      </c>
      <c r="K61" s="2">
        <f>J61*Параметры!$B$6</f>
        <v>122169.59592102702</v>
      </c>
      <c r="L61" s="2">
        <f t="shared" si="3"/>
        <v>5986310.2001303239</v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tabColor theme="9" tint="0.79998168889431442"/>
  </sheetPr>
  <dimension ref="A1:H6"/>
  <sheetViews>
    <sheetView workbookViewId="0">
      <selection activeCell="I13" sqref="I13:I14"/>
    </sheetView>
  </sheetViews>
  <sheetFormatPr defaultRowHeight="15" x14ac:dyDescent="0.25"/>
  <cols>
    <col min="1" max="1" width="4.140625" bestFit="1" customWidth="1"/>
    <col min="2" max="2" width="12.28515625" bestFit="1" customWidth="1"/>
    <col min="3" max="3" width="11.28515625" bestFit="1" customWidth="1"/>
    <col min="4" max="4" width="11.85546875" customWidth="1"/>
    <col min="5" max="5" width="15.85546875" customWidth="1"/>
    <col min="6" max="6" width="18.85546875" bestFit="1" customWidth="1"/>
    <col min="7" max="7" width="12.28515625" bestFit="1" customWidth="1"/>
    <col min="8" max="8" width="13.28515625" customWidth="1"/>
  </cols>
  <sheetData>
    <row r="1" spans="1:8" s="4" customFormat="1" ht="50.25" customHeight="1" x14ac:dyDescent="0.25">
      <c r="A1" s="4" t="s">
        <v>21</v>
      </c>
      <c r="B1" s="4" t="s">
        <v>35</v>
      </c>
      <c r="C1" s="4" t="s">
        <v>40</v>
      </c>
      <c r="D1" s="4" t="s">
        <v>47</v>
      </c>
      <c r="E1" s="4" t="s">
        <v>48</v>
      </c>
      <c r="F1" s="4" t="s">
        <v>37</v>
      </c>
      <c r="G1" s="4" t="s">
        <v>38</v>
      </c>
      <c r="H1" s="10" t="s">
        <v>39</v>
      </c>
    </row>
    <row r="2" spans="1:8" x14ac:dyDescent="0.25">
      <c r="A2">
        <v>1</v>
      </c>
      <c r="B2" s="2">
        <f>SUMIF(PL_мес_кредит!$B:$B,A2,PL_мес_кредит!$E:$E)</f>
        <v>86400000</v>
      </c>
      <c r="C2" s="2">
        <f>SUMIF(PL_мес_кредит!$B:$B,A2,PL_мес_кредит!$G:$G)</f>
        <v>37958400</v>
      </c>
      <c r="D2" s="2">
        <f>SUMIF(PL_мес_кредит!$B:$B,A2,PL_мес_кредит!$H:$H)</f>
        <v>48441600</v>
      </c>
      <c r="E2" s="2">
        <f>SUMIF(PL_мес_кредит!$B:$B,A2,PL_мес_кредит!$I:$I)</f>
        <v>11924359.278204905</v>
      </c>
      <c r="F2" s="2">
        <f>D2-E2</f>
        <v>36517240.721795097</v>
      </c>
      <c r="G2" s="2">
        <f>SUMIF(PL_мес_кредит!$B:$B,A2,PL_мес_кредит!$K:$K)</f>
        <v>730344.81443590194</v>
      </c>
      <c r="H2" s="9">
        <f>SUMIF(PL_мес_кредит!$B:$B,A2,PL_мес_кредит!$L:$L)</f>
        <v>35786895.907359198</v>
      </c>
    </row>
    <row r="3" spans="1:8" x14ac:dyDescent="0.25">
      <c r="A3">
        <v>2</v>
      </c>
      <c r="B3" s="2">
        <f>SUMIF(PL_мес_кредит!$B:$B,A3,PL_мес_кредит!$E:$E)</f>
        <v>102060000</v>
      </c>
      <c r="C3" s="2">
        <f>SUMIF(PL_мес_кредит!$B:$B,A3,PL_мес_кредит!$G:$G)</f>
        <v>44838360.000000007</v>
      </c>
      <c r="D3" s="2">
        <f>SUMIF(PL_мес_кредит!$B:$B,A3,PL_мес_кредит!$H:$H)</f>
        <v>57221640</v>
      </c>
      <c r="E3" s="2">
        <f>SUMIF(PL_мес_кредит!$B:$B,A3,PL_мес_кредит!$I:$I)</f>
        <v>9940428.3906781115</v>
      </c>
      <c r="F3" s="2">
        <f>D3-E3</f>
        <v>47281211.609321892</v>
      </c>
      <c r="G3" s="2">
        <f>SUMIF(PL_мес_кредит!$B:$B,A3,PL_мес_кредит!$K:$K)</f>
        <v>945624.23218643782</v>
      </c>
      <c r="H3" s="9">
        <f>SUMIF(PL_мес_кредит!$B:$B,A3,PL_мес_кредит!$L:$L)</f>
        <v>46335587.377135448</v>
      </c>
    </row>
    <row r="4" spans="1:8" x14ac:dyDescent="0.25">
      <c r="A4">
        <v>3</v>
      </c>
      <c r="B4" s="2">
        <f>SUMIF(PL_мес_кредит!$B:$B,A4,PL_мес_кредит!$E:$E)</f>
        <v>119070000</v>
      </c>
      <c r="C4" s="2">
        <f>SUMIF(PL_мес_кредит!$B:$B,A4,PL_мес_кредит!$G:$G)</f>
        <v>52311420</v>
      </c>
      <c r="D4" s="2">
        <f>SUMIF(PL_мес_кредит!$B:$B,A4,PL_мес_кредит!$H:$H)</f>
        <v>66758580</v>
      </c>
      <c r="E4" s="2">
        <f>SUMIF(PL_мес_кредит!$B:$B,A4,PL_мес_кредит!$I:$I)</f>
        <v>7637571.6501311902</v>
      </c>
      <c r="F4" s="2">
        <f>D4-E4</f>
        <v>59121008.349868812</v>
      </c>
      <c r="G4" s="2">
        <f>SUMIF(PL_мес_кредит!$B:$B,A4,PL_мес_кредит!$K:$K)</f>
        <v>1182420.1669973761</v>
      </c>
      <c r="H4" s="9">
        <f>SUMIF(PL_мес_кредит!$B:$B,A4,PL_мес_кредит!$L:$L)</f>
        <v>57938588.182871431</v>
      </c>
    </row>
    <row r="5" spans="1:8" x14ac:dyDescent="0.25">
      <c r="A5">
        <v>4</v>
      </c>
      <c r="B5" s="2">
        <f>SUMIF(PL_мес_кредит!$B:$B,A5,PL_мес_кредит!$E:$E)</f>
        <v>125023500.00000001</v>
      </c>
      <c r="C5" s="2">
        <f>SUMIF(PL_мес_кредит!$B:$B,A5,PL_мес_кредит!$G:$G)</f>
        <v>54926991.000000007</v>
      </c>
      <c r="D5" s="2">
        <f>SUMIF(PL_мес_кредит!$B:$B,A5,PL_мес_кредит!$H:$H)</f>
        <v>70096509.000000015</v>
      </c>
      <c r="E5" s="2">
        <f>SUMIF(PL_мес_кредит!$B:$B,A5,PL_мес_кредит!$I:$I)</f>
        <v>4964520.2848724937</v>
      </c>
      <c r="F5" s="2">
        <f>D5-E5</f>
        <v>65131988.71512752</v>
      </c>
      <c r="G5" s="2">
        <f>SUMIF(PL_мес_кредит!$B:$B,A5,PL_мес_кредит!$K:$K)</f>
        <v>1302639.7743025504</v>
      </c>
      <c r="H5" s="9">
        <f>SUMIF(PL_мес_кредит!$B:$B,A5,PL_мес_кредит!$L:$L)</f>
        <v>63829348.940824971</v>
      </c>
    </row>
    <row r="6" spans="1:8" x14ac:dyDescent="0.25">
      <c r="A6">
        <v>5</v>
      </c>
      <c r="B6" s="2">
        <f>SUMIF(PL_мес_кредит!$B:$B,A6,PL_мес_кредит!$E:$E)</f>
        <v>131274675</v>
      </c>
      <c r="C6" s="2">
        <f>SUMIF(PL_мес_кредит!$B:$B,A6,PL_мес_кредит!$G:$G)</f>
        <v>57673340.54999999</v>
      </c>
      <c r="D6" s="2">
        <f>SUMIF(PL_мес_кредит!$B:$B,A6,PL_мес_кредит!$H:$H)</f>
        <v>73601334.450000003</v>
      </c>
      <c r="E6" s="2">
        <f>SUMIF(PL_мес_кредит!$B:$B,A6,PL_мес_кредит!$I:$I)</f>
        <v>1861763.836542832</v>
      </c>
      <c r="F6" s="2">
        <f>D6-E6</f>
        <v>71739570.613457173</v>
      </c>
      <c r="G6" s="2">
        <f>SUMIF(PL_мес_кредит!$B:$B,A6,PL_мес_кредит!$K:$K)</f>
        <v>1434791.4122691434</v>
      </c>
      <c r="H6" s="9">
        <f>SUMIF(PL_мес_кредит!$B:$B,A6,PL_мес_кредит!$L:$L)</f>
        <v>70304779.201188013</v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tabColor theme="9" tint="0.79998168889431442"/>
  </sheetPr>
  <dimension ref="A1:B7"/>
  <sheetViews>
    <sheetView workbookViewId="0">
      <selection activeCell="D8" sqref="D8"/>
    </sheetView>
  </sheetViews>
  <sheetFormatPr defaultRowHeight="15" x14ac:dyDescent="0.25"/>
  <cols>
    <col min="1" max="1" width="11.140625" customWidth="1"/>
    <col min="2" max="2" width="15" style="2" customWidth="1"/>
  </cols>
  <sheetData>
    <row r="1" spans="1:2" x14ac:dyDescent="0.25">
      <c r="A1" t="s">
        <v>21</v>
      </c>
      <c r="B1" s="2" t="s">
        <v>54</v>
      </c>
    </row>
    <row r="2" spans="1:2" x14ac:dyDescent="0.25">
      <c r="A2">
        <v>0</v>
      </c>
      <c r="B2" s="2">
        <f>-Параметры!B20</f>
        <v>-85000000</v>
      </c>
    </row>
    <row r="3" spans="1:2" x14ac:dyDescent="0.25">
      <c r="A3">
        <v>1</v>
      </c>
      <c r="B3" s="2">
        <f>PL_год_кредит!H2</f>
        <v>35786895.907359198</v>
      </c>
    </row>
    <row r="4" spans="1:2" x14ac:dyDescent="0.25">
      <c r="A4">
        <v>2</v>
      </c>
      <c r="B4" s="2">
        <f>PL_год_кредит!H3</f>
        <v>46335587.377135448</v>
      </c>
    </row>
    <row r="5" spans="1:2" x14ac:dyDescent="0.25">
      <c r="A5">
        <v>3</v>
      </c>
      <c r="B5" s="2">
        <f>PL_год_кредит!H4</f>
        <v>57938588.182871431</v>
      </c>
    </row>
    <row r="6" spans="1:2" x14ac:dyDescent="0.25">
      <c r="A6">
        <v>4</v>
      </c>
      <c r="B6" s="2">
        <f>PL_год_кредит!H5</f>
        <v>63829348.940824971</v>
      </c>
    </row>
    <row r="7" spans="1:2" x14ac:dyDescent="0.25">
      <c r="A7">
        <v>5</v>
      </c>
      <c r="B7" s="2">
        <f>PL_год_кредит!H6</f>
        <v>70304779.201188013</v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tabColor theme="9" tint="0.79998168889431442"/>
  </sheetPr>
  <dimension ref="A2:B8"/>
  <sheetViews>
    <sheetView workbookViewId="0">
      <selection activeCell="B8" sqref="B8"/>
    </sheetView>
  </sheetViews>
  <sheetFormatPr defaultRowHeight="15" x14ac:dyDescent="0.25"/>
  <cols>
    <col min="1" max="2" width="22" customWidth="1"/>
  </cols>
  <sheetData>
    <row r="2" spans="1:2" x14ac:dyDescent="0.25">
      <c r="A2" t="s">
        <v>17</v>
      </c>
      <c r="B2" s="2">
        <f>Параметры!B20</f>
        <v>85000000</v>
      </c>
    </row>
    <row r="3" spans="1:2" x14ac:dyDescent="0.25">
      <c r="A3" t="s">
        <v>55</v>
      </c>
      <c r="B3" s="2">
        <f>AVERAGE(PL_год_кредит!H4:H6)</f>
        <v>64024238.774961472</v>
      </c>
    </row>
    <row r="4" spans="1:2" x14ac:dyDescent="0.25">
      <c r="A4" t="s">
        <v>56</v>
      </c>
      <c r="B4" s="8">
        <f>B3/B2</f>
        <v>0.75322633852895848</v>
      </c>
    </row>
    <row r="6" spans="1:2" x14ac:dyDescent="0.25">
      <c r="A6" t="s">
        <v>8</v>
      </c>
      <c r="B6">
        <f>Параметры!B8</f>
        <v>0.2</v>
      </c>
    </row>
    <row r="7" spans="1:2" x14ac:dyDescent="0.25">
      <c r="A7" t="s">
        <v>57</v>
      </c>
      <c r="B7" s="2">
        <f>NPV(B6,Потоки_кредит!B3:B7)+Потоки_кредит!B2</f>
        <v>69564994.556448877</v>
      </c>
    </row>
    <row r="8" spans="1:2" x14ac:dyDescent="0.25">
      <c r="A8" t="s">
        <v>58</v>
      </c>
      <c r="B8" s="8">
        <f>IRR(Потоки_кредит!B2:B7)</f>
        <v>0.48950299263372177</v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tabColor theme="9" tint="0.79998168889431442"/>
  </sheetPr>
  <dimension ref="A1:B7"/>
  <sheetViews>
    <sheetView workbookViewId="0">
      <selection activeCell="K15" sqref="K15"/>
    </sheetView>
  </sheetViews>
  <sheetFormatPr defaultRowHeight="15" x14ac:dyDescent="0.25"/>
  <cols>
    <col min="1" max="2" width="22" customWidth="1"/>
  </cols>
  <sheetData>
    <row r="1" spans="1:2" x14ac:dyDescent="0.25">
      <c r="A1" t="s">
        <v>21</v>
      </c>
      <c r="B1" t="s">
        <v>59</v>
      </c>
    </row>
    <row r="2" spans="1:2" x14ac:dyDescent="0.25">
      <c r="A2">
        <v>0</v>
      </c>
      <c r="B2" s="2">
        <f>-Параметры!B2</f>
        <v>-170000000</v>
      </c>
    </row>
    <row r="3" spans="1:2" x14ac:dyDescent="0.25">
      <c r="A3">
        <v>1</v>
      </c>
      <c r="B3" s="2">
        <f>PL_год!D2*(1-Параметры!B5)</f>
        <v>36331200</v>
      </c>
    </row>
    <row r="4" spans="1:2" x14ac:dyDescent="0.25">
      <c r="A4">
        <v>2</v>
      </c>
      <c r="B4" s="2">
        <f>PL_год!D3*(1-Параметры!B5)</f>
        <v>42916229.999999993</v>
      </c>
    </row>
    <row r="5" spans="1:2" x14ac:dyDescent="0.25">
      <c r="A5">
        <v>3</v>
      </c>
      <c r="B5" s="2">
        <f>PL_год!D4*(1-Параметры!B5)</f>
        <v>50068935</v>
      </c>
    </row>
    <row r="6" spans="1:2" x14ac:dyDescent="0.25">
      <c r="A6">
        <v>4</v>
      </c>
      <c r="B6" s="2">
        <f>PL_год!D5*(1-Параметры!B5)</f>
        <v>52572381.75</v>
      </c>
    </row>
    <row r="7" spans="1:2" x14ac:dyDescent="0.25">
      <c r="A7">
        <v>5</v>
      </c>
      <c r="B7" s="2">
        <f>PL_год!D6*(1-Параметры!B5)</f>
        <v>55201000.837500013</v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sheetPr>
    <tabColor theme="9" tint="0.79998168889431442"/>
  </sheetPr>
  <dimension ref="A2:B8"/>
  <sheetViews>
    <sheetView workbookViewId="0">
      <selection activeCell="K12" sqref="K12"/>
    </sheetView>
  </sheetViews>
  <sheetFormatPr defaultRowHeight="15" x14ac:dyDescent="0.25"/>
  <cols>
    <col min="1" max="2" width="22" customWidth="1"/>
  </cols>
  <sheetData>
    <row r="2" spans="1:2" x14ac:dyDescent="0.25">
      <c r="A2" t="s">
        <v>1</v>
      </c>
      <c r="B2" s="2">
        <f>Параметры!B2</f>
        <v>170000000</v>
      </c>
    </row>
    <row r="3" spans="1:2" x14ac:dyDescent="0.25">
      <c r="A3" t="s">
        <v>60</v>
      </c>
      <c r="B3" s="2">
        <f>AVERAGE(Потоки_конс!B5:B7)</f>
        <v>52614105.862500004</v>
      </c>
    </row>
    <row r="4" spans="1:2" x14ac:dyDescent="0.25">
      <c r="A4" t="s">
        <v>61</v>
      </c>
      <c r="B4" s="7">
        <f>B2/B3</f>
        <v>3.231072679335699</v>
      </c>
    </row>
    <row r="6" spans="1:2" x14ac:dyDescent="0.25">
      <c r="A6" t="s">
        <v>8</v>
      </c>
      <c r="B6">
        <f>Параметры!B8</f>
        <v>0.2</v>
      </c>
    </row>
    <row r="7" spans="1:2" x14ac:dyDescent="0.25">
      <c r="A7" t="s">
        <v>62</v>
      </c>
      <c r="B7" s="2">
        <f>NPV(B6,Потоки_конс!B3:B7)+Потоки_конс!B2</f>
        <v>-33408746.826171875</v>
      </c>
    </row>
    <row r="8" spans="1:2" x14ac:dyDescent="0.25">
      <c r="A8" t="s">
        <v>63</v>
      </c>
      <c r="B8" s="7">
        <f>IRR(Потоки_конс!B2:B7)</f>
        <v>0.11339514746988932</v>
      </c>
    </row>
  </sheetData>
  <pageMargins left="0.75" right="0.75" top="1" bottom="1" header="0.5" footer="0.5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I10"/>
  <sheetViews>
    <sheetView workbookViewId="0">
      <selection activeCell="F4" sqref="F4"/>
    </sheetView>
  </sheetViews>
  <sheetFormatPr defaultRowHeight="15" x14ac:dyDescent="0.25"/>
  <cols>
    <col min="1" max="9" width="22" customWidth="1"/>
  </cols>
  <sheetData>
    <row r="1" spans="1:9" x14ac:dyDescent="0.25">
      <c r="A1" t="s">
        <v>64</v>
      </c>
      <c r="B1" t="s">
        <v>6</v>
      </c>
      <c r="C1" t="s">
        <v>3</v>
      </c>
      <c r="D1" t="s">
        <v>65</v>
      </c>
      <c r="E1" t="s">
        <v>66</v>
      </c>
      <c r="F1" t="s">
        <v>67</v>
      </c>
      <c r="G1" t="s">
        <v>68</v>
      </c>
      <c r="H1" t="s">
        <v>69</v>
      </c>
      <c r="I1" t="s">
        <v>70</v>
      </c>
    </row>
    <row r="2" spans="1:9" x14ac:dyDescent="0.25">
      <c r="A2" t="s">
        <v>7</v>
      </c>
      <c r="B2" t="s">
        <v>7</v>
      </c>
      <c r="C2">
        <v>45</v>
      </c>
      <c r="D2">
        <v>0.8</v>
      </c>
      <c r="E2">
        <v>0.9</v>
      </c>
      <c r="F2">
        <v>1</v>
      </c>
    </row>
    <row r="3" spans="1:9" x14ac:dyDescent="0.25">
      <c r="A3" t="s">
        <v>30</v>
      </c>
      <c r="B3" t="s">
        <v>30</v>
      </c>
      <c r="C3">
        <v>45</v>
      </c>
      <c r="D3">
        <v>0.8</v>
      </c>
      <c r="E3">
        <v>0.9</v>
      </c>
      <c r="F3">
        <v>1</v>
      </c>
    </row>
    <row r="4" spans="1:9" x14ac:dyDescent="0.25">
      <c r="A4" t="s">
        <v>71</v>
      </c>
      <c r="B4" t="s">
        <v>72</v>
      </c>
      <c r="C4">
        <v>45</v>
      </c>
      <c r="D4">
        <v>0.8</v>
      </c>
      <c r="E4">
        <v>0.9</v>
      </c>
      <c r="F4">
        <v>1</v>
      </c>
    </row>
    <row r="7" spans="1:9" x14ac:dyDescent="0.25">
      <c r="A7" t="s">
        <v>73</v>
      </c>
    </row>
    <row r="8" spans="1:9" x14ac:dyDescent="0.25">
      <c r="A8" t="s">
        <v>74</v>
      </c>
    </row>
    <row r="9" spans="1:9" x14ac:dyDescent="0.25">
      <c r="A9" t="s">
        <v>75</v>
      </c>
    </row>
    <row r="10" spans="1:9" x14ac:dyDescent="0.25">
      <c r="A10" t="s">
        <v>76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15</vt:i4>
      </vt:variant>
    </vt:vector>
  </HeadingPairs>
  <TitlesOfParts>
    <vt:vector size="15" baseType="lpstr">
      <vt:lpstr>Параметры</vt:lpstr>
      <vt:lpstr>Себестоимость</vt:lpstr>
      <vt:lpstr>План_мес</vt:lpstr>
      <vt:lpstr>PL_мес</vt:lpstr>
      <vt:lpstr>PL_год</vt:lpstr>
      <vt:lpstr>Потоки</vt:lpstr>
      <vt:lpstr>Показатели</vt:lpstr>
      <vt:lpstr>Кредит_мес</vt:lpstr>
      <vt:lpstr>PL_мес_кредит</vt:lpstr>
      <vt:lpstr>PL_год_кредит</vt:lpstr>
      <vt:lpstr>Потоки_кредит</vt:lpstr>
      <vt:lpstr>Показатели_кредит</vt:lpstr>
      <vt:lpstr>Потоки_конс</vt:lpstr>
      <vt:lpstr>Показатели_конс</vt:lpstr>
      <vt:lpstr>Сценарии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Алексей Баранов</cp:lastModifiedBy>
  <dcterms:created xsi:type="dcterms:W3CDTF">2025-12-10T05:10:34Z</dcterms:created>
  <dcterms:modified xsi:type="dcterms:W3CDTF">2025-12-16T13:48:13Z</dcterms:modified>
</cp:coreProperties>
</file>