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9.xml" ContentType="application/vnd.openxmlformats-officedocument.drawing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ЭтаКнига" autoCompressPictures="0"/>
  <mc:AlternateContent xmlns:mc="http://schemas.openxmlformats.org/markup-compatibility/2006">
    <mc:Choice Requires="x15">
      <x15ac:absPath xmlns:x15ac="http://schemas.microsoft.com/office/spreadsheetml/2010/11/ac" url="C:\Users\tsygo\OneDrive\Desktop\Бизнес-план_Мясной завод\"/>
    </mc:Choice>
  </mc:AlternateContent>
  <xr:revisionPtr revIDLastSave="0" documentId="13_ncr:1_{E70CD1D3-7323-4015-92BC-52CE87B968CA}" xr6:coauthVersionLast="47" xr6:coauthVersionMax="47" xr10:uidLastSave="{00000000-0000-0000-0000-000000000000}"/>
  <bookViews>
    <workbookView xWindow="-98" yWindow="-98" windowWidth="21795" windowHeight="12975" tabRatio="858" firstSheet="5" activeTab="5" xr2:uid="{00000000-000D-0000-FFFF-FFFF00000000}"/>
  </bookViews>
  <sheets>
    <sheet name="Допущения" sheetId="5" r:id="rId1"/>
    <sheet name="Сезонность" sheetId="51" r:id="rId2"/>
    <sheet name="Цены" sheetId="45" r:id="rId3"/>
    <sheet name="Объемы реализации" sheetId="10" r:id="rId4"/>
    <sheet name="Выручка" sheetId="11" r:id="rId5"/>
    <sheet name="Персонал" sheetId="46" r:id="rId6"/>
    <sheet name="Затраты" sheetId="13" r:id="rId7"/>
    <sheet name="Налоги" sheetId="29" r:id="rId8"/>
    <sheet name="СОК" sheetId="49" r:id="rId9"/>
    <sheet name="Инвестиции" sheetId="22" r:id="rId10"/>
    <sheet name="Капвложения" sheetId="24" r:id="rId11"/>
    <sheet name="Амортизация" sheetId="33" r:id="rId12"/>
    <sheet name="Кредиты" sheetId="52" r:id="rId13"/>
    <sheet name="ОПУ" sheetId="25" r:id="rId14"/>
    <sheet name="ОДДС" sheetId="19" r:id="rId15"/>
    <sheet name="Баланс" sheetId="48" r:id="rId16"/>
    <sheet name="WACC" sheetId="47" r:id="rId17"/>
    <sheet name="Показатели эффективности" sheetId="20" r:id="rId18"/>
    <sheet name="Анализ чувствительности" sheetId="39" r:id="rId19"/>
    <sheet name="Безубыт-ть" sheetId="41" r:id="rId20"/>
  </sheets>
  <externalReferences>
    <externalReference r:id="rId21"/>
    <externalReference r:id="rId22"/>
  </externalReferences>
  <definedNames>
    <definedName name="About_AI" localSheetId="16">#REF!</definedName>
    <definedName name="About_AI" localSheetId="15">#REF!</definedName>
    <definedName name="About_AI" localSheetId="12">#REF!</definedName>
    <definedName name="About_AI" localSheetId="5">#REF!</definedName>
    <definedName name="About_AI" localSheetId="8">#REF!</definedName>
    <definedName name="About_AI" localSheetId="2">#REF!</definedName>
    <definedName name="About_AI">#REF!</definedName>
    <definedName name="About_AI_Summ" localSheetId="16">#REF!</definedName>
    <definedName name="About_AI_Summ">#REF!</definedName>
    <definedName name="AI_Version" localSheetId="16">[1]Опции!$B$5</definedName>
    <definedName name="AI_Version" localSheetId="5">[1]Опции!$B$5</definedName>
    <definedName name="AI_Version" localSheetId="2">[1]Опции!$B$5</definedName>
    <definedName name="AI_Version">[1]Опции!$B$5</definedName>
    <definedName name="bc0yield" localSheetId="15">'[2]Базовая информация'!#REF!</definedName>
    <definedName name="bc0yield" localSheetId="8">'[2]Базовая информация'!#REF!</definedName>
    <definedName name="bc0yield">'[2]Базовая информация'!#REF!</definedName>
    <definedName name="bc10yield" localSheetId="15">'[2]Базовая информация'!#REF!</definedName>
    <definedName name="bc10yield" localSheetId="8">'[2]Базовая информация'!#REF!</definedName>
    <definedName name="bc10yield">'[2]Базовая информация'!#REF!</definedName>
    <definedName name="bc11yield" localSheetId="15">'[2]Базовая информация'!#REF!</definedName>
    <definedName name="bc11yield" localSheetId="8">'[2]Базовая информация'!#REF!</definedName>
    <definedName name="bc11yield">'[2]Базовая информация'!#REF!</definedName>
    <definedName name="bc12yield" localSheetId="15">'[2]Базовая информация'!#REF!</definedName>
    <definedName name="bc12yield" localSheetId="8">'[2]Базовая информация'!#REF!</definedName>
    <definedName name="bc12yield">'[2]Базовая информация'!#REF!</definedName>
    <definedName name="bc1yield" localSheetId="15">'[2]Базовая информация'!#REF!</definedName>
    <definedName name="bc1yield" localSheetId="8">'[2]Базовая информация'!#REF!</definedName>
    <definedName name="bc1yield">'[2]Базовая информация'!#REF!</definedName>
    <definedName name="bc2yield" localSheetId="15">'[2]Базовая информация'!#REF!</definedName>
    <definedName name="bc2yield" localSheetId="8">'[2]Базовая информация'!#REF!</definedName>
    <definedName name="bc2yield">'[2]Базовая информация'!#REF!</definedName>
    <definedName name="bc3yield" localSheetId="15">'[2]Базовая информация'!#REF!</definedName>
    <definedName name="bc3yield" localSheetId="8">'[2]Базовая информация'!#REF!</definedName>
    <definedName name="bc3yield">'[2]Базовая информация'!#REF!</definedName>
    <definedName name="bc4yield" localSheetId="15">'[2]Базовая информация'!#REF!</definedName>
    <definedName name="bc4yield" localSheetId="8">'[2]Базовая информация'!#REF!</definedName>
    <definedName name="bc4yield">'[2]Базовая информация'!#REF!</definedName>
    <definedName name="bc5yield" localSheetId="15">'[2]Базовая информация'!#REF!</definedName>
    <definedName name="bc5yield" localSheetId="8">'[2]Базовая информация'!#REF!</definedName>
    <definedName name="bc5yield">'[2]Базовая информация'!#REF!</definedName>
    <definedName name="bc6yield" localSheetId="15">'[2]Базовая информация'!#REF!</definedName>
    <definedName name="bc6yield" localSheetId="8">'[2]Базовая информация'!#REF!</definedName>
    <definedName name="bc6yield">'[2]Базовая информация'!#REF!</definedName>
    <definedName name="bc7yield" localSheetId="15">'[2]Базовая информация'!#REF!</definedName>
    <definedName name="bc7yield" localSheetId="8">'[2]Базовая информация'!#REF!</definedName>
    <definedName name="bc7yield">'[2]Базовая информация'!#REF!</definedName>
    <definedName name="bc8yield" localSheetId="15">'[2]Базовая информация'!#REF!</definedName>
    <definedName name="bc8yield" localSheetId="8">'[2]Базовая информация'!#REF!</definedName>
    <definedName name="bc8yield">'[2]Базовая информация'!#REF!</definedName>
    <definedName name="bc9yield" localSheetId="15">'[2]Базовая информация'!#REF!</definedName>
    <definedName name="bc9yield" localSheetId="8">'[2]Базовая информация'!#REF!</definedName>
    <definedName name="bc9yield">'[2]Базовая информация'!#REF!</definedName>
    <definedName name="bcplants" localSheetId="15">'[2]Базовая информация'!#REF!</definedName>
    <definedName name="bcplants" localSheetId="8">'[2]Базовая информация'!#REF!</definedName>
    <definedName name="bcplants">'[2]Базовая информация'!#REF!</definedName>
    <definedName name="bcy0" localSheetId="15">'[2]Базовая информация'!#REF!</definedName>
    <definedName name="bcy0" localSheetId="8">'[2]Базовая информация'!#REF!</definedName>
    <definedName name="bcy0">'[2]Базовая информация'!#REF!</definedName>
    <definedName name="CalcMethod" localSheetId="16">[1]Проект!$F$34</definedName>
    <definedName name="CalcMethod" localSheetId="5">[1]Проект!$F$34</definedName>
    <definedName name="CalcMethod" localSheetId="2">[1]Проект!$F$34</definedName>
    <definedName name="CalcMethod">[1]Проект!$F$34</definedName>
    <definedName name="COMP_LAST_COLUMN" localSheetId="16">#REF!</definedName>
    <definedName name="COMP_LAST_COLUMN" localSheetId="15">#REF!</definedName>
    <definedName name="COMP_LAST_COLUMN" localSheetId="19">#REF!</definedName>
    <definedName name="COMP_LAST_COLUMN" localSheetId="12">#REF!</definedName>
    <definedName name="COMP_LAST_COLUMN" localSheetId="5">#REF!</definedName>
    <definedName name="COMP_LAST_COLUMN" localSheetId="8">#REF!</definedName>
    <definedName name="COMP_LAST_COLUMN">#REF!</definedName>
    <definedName name="CUR_Foreign" localSheetId="16">[1]Проект!$B$12</definedName>
    <definedName name="CUR_Foreign" localSheetId="5">[1]Проект!$B$12</definedName>
    <definedName name="CUR_Foreign" localSheetId="2">[1]Проект!$B$12</definedName>
    <definedName name="CUR_Foreign">[1]Проект!$B$12</definedName>
    <definedName name="CUR_I_Foreign" localSheetId="16">[1]Проект!$D$12</definedName>
    <definedName name="CUR_I_Foreign" localSheetId="5">[1]Проект!$D$12</definedName>
    <definedName name="CUR_I_Foreign" localSheetId="2">[1]Проект!$D$12</definedName>
    <definedName name="CUR_I_Foreign">[1]Проект!$D$12</definedName>
    <definedName name="CUR_I_Main" localSheetId="16">[1]Проект!$D$11</definedName>
    <definedName name="CUR_I_Main" localSheetId="5">[1]Проект!$D$11</definedName>
    <definedName name="CUR_I_Main" localSheetId="2">[1]Проект!$D$11</definedName>
    <definedName name="CUR_I_Main">[1]Проект!$D$11</definedName>
    <definedName name="CUR_I_Report" localSheetId="16">[1]Проект!$D$19</definedName>
    <definedName name="CUR_I_Report" localSheetId="5">[1]Проект!$D$19</definedName>
    <definedName name="CUR_I_Report" localSheetId="2">[1]Проект!$D$19</definedName>
    <definedName name="CUR_I_Report">[1]Проект!$D$19</definedName>
    <definedName name="CUR_Main" localSheetId="16">[1]Проект!$B$11</definedName>
    <definedName name="CUR_Main" localSheetId="5">[1]Проект!$B$11</definedName>
    <definedName name="CUR_Main" localSheetId="2">[1]Проект!$B$11</definedName>
    <definedName name="CUR_Main">[1]Проект!$B$11</definedName>
    <definedName name="CUR_Report" localSheetId="16">[1]Проект!$B$19</definedName>
    <definedName name="CUR_Report" localSheetId="5">[1]Проект!$B$19</definedName>
    <definedName name="CUR_Report" localSheetId="2">[1]Проект!$B$19</definedName>
    <definedName name="CUR_Report">[1]Проект!$B$19</definedName>
    <definedName name="IS_SUMM" localSheetId="16">[1]Опции!$B$10</definedName>
    <definedName name="IS_SUMM" localSheetId="5">[1]Опции!$B$10</definedName>
    <definedName name="IS_SUMM" localSheetId="2">[1]Опции!$B$10</definedName>
    <definedName name="IS_SUMM">[1]Опции!$B$10</definedName>
    <definedName name="LANGUAGE" localSheetId="11">#REF!</definedName>
    <definedName name="LANGUAGE" localSheetId="15">#REF!</definedName>
    <definedName name="LANGUAGE" localSheetId="19">#REF!</definedName>
    <definedName name="LANGUAGE" localSheetId="4">#REF!</definedName>
    <definedName name="LANGUAGE" localSheetId="6">#REF!</definedName>
    <definedName name="LANGUAGE" localSheetId="10">#REF!</definedName>
    <definedName name="LANGUAGE" localSheetId="12">#REF!</definedName>
    <definedName name="LANGUAGE" localSheetId="14">#REF!</definedName>
    <definedName name="LANGUAGE" localSheetId="13">#REF!</definedName>
    <definedName name="LANGUAGE" localSheetId="17">#REF!</definedName>
    <definedName name="LANGUAGE" localSheetId="8">#REF!</definedName>
    <definedName name="LANGUAGE">#REF!</definedName>
    <definedName name="NWC_T_Cr_AdvK" localSheetId="16">[1]Проект!$B$752</definedName>
    <definedName name="NWC_T_Cr_AdvK" localSheetId="5">[1]Проект!$B$752</definedName>
    <definedName name="NWC_T_Cr_AdvK" localSheetId="2">[1]Проект!$B$752</definedName>
    <definedName name="NWC_T_Cr_AdvK">[1]Проект!$B$752</definedName>
    <definedName name="NWC_T_Cr_AdvT" localSheetId="16">[1]Проект!$C$752</definedName>
    <definedName name="NWC_T_Cr_AdvT" localSheetId="5">[1]Проект!$C$752</definedName>
    <definedName name="NWC_T_Cr_AdvT" localSheetId="2">[1]Проект!$C$752</definedName>
    <definedName name="NWC_T_Cr_AdvT">[1]Проект!$C$752</definedName>
    <definedName name="NWC_T_Cr_CrdK" localSheetId="16">[1]Проект!$B$753</definedName>
    <definedName name="NWC_T_Cr_CrdK" localSheetId="5">[1]Проект!$B$753</definedName>
    <definedName name="NWC_T_Cr_CrdK" localSheetId="2">[1]Проект!$B$753</definedName>
    <definedName name="NWC_T_Cr_CrdK">[1]Проект!$B$753</definedName>
    <definedName name="NWC_T_Cr_CrdT" localSheetId="16">[1]Проект!$C$753</definedName>
    <definedName name="NWC_T_Cr_CrdT" localSheetId="5">[1]Проект!$C$753</definedName>
    <definedName name="NWC_T_Cr_CrdT" localSheetId="2">[1]Проект!$C$753</definedName>
    <definedName name="NWC_T_Cr_CrdT">[1]Проект!$C$753</definedName>
    <definedName name="NWC_T_Cycle" localSheetId="16">[1]Проект!$B$731</definedName>
    <definedName name="NWC_T_Cycle" localSheetId="5">[1]Проект!$B$731</definedName>
    <definedName name="NWC_T_Cycle" localSheetId="2">[1]Проект!$B$731</definedName>
    <definedName name="NWC_T_Cycle">[1]Проект!$B$731</definedName>
    <definedName name="NWC_T_Db_AdvK" localSheetId="16">[1]Проект!$B$740</definedName>
    <definedName name="NWC_T_Db_AdvK" localSheetId="5">[1]Проект!$B$740</definedName>
    <definedName name="NWC_T_Db_AdvK" localSheetId="2">[1]Проект!$B$740</definedName>
    <definedName name="NWC_T_Db_AdvK">[1]Проект!$B$740</definedName>
    <definedName name="NWC_T_Db_AdvT" localSheetId="16">[1]Проект!$C$740</definedName>
    <definedName name="NWC_T_Db_AdvT" localSheetId="5">[1]Проект!$C$740</definedName>
    <definedName name="NWC_T_Db_AdvT" localSheetId="2">[1]Проект!$C$740</definedName>
    <definedName name="NWC_T_Db_AdvT">[1]Проект!$C$740</definedName>
    <definedName name="NWC_T_Db_CrdK" localSheetId="16">[1]Проект!$B$741</definedName>
    <definedName name="NWC_T_Db_CrdK" localSheetId="5">[1]Проект!$B$741</definedName>
    <definedName name="NWC_T_Db_CrdK" localSheetId="2">[1]Проект!$B$741</definedName>
    <definedName name="NWC_T_Db_CrdK">[1]Проект!$B$741</definedName>
    <definedName name="NWC_T_Db_CrdT" localSheetId="16">[1]Проект!$C$741</definedName>
    <definedName name="NWC_T_Db_CrdT" localSheetId="5">[1]Проект!$C$741</definedName>
    <definedName name="NWC_T_Db_CrdT" localSheetId="2">[1]Проект!$C$741</definedName>
    <definedName name="NWC_T_Db_CrdT">[1]Проект!$C$741</definedName>
    <definedName name="NWC_T_Goods" localSheetId="16">[1]Проект!$B$735</definedName>
    <definedName name="NWC_T_Goods" localSheetId="5">[1]Проект!$B$735</definedName>
    <definedName name="NWC_T_Goods" localSheetId="2">[1]Проект!$B$735</definedName>
    <definedName name="NWC_T_Goods">[1]Проект!$B$735</definedName>
    <definedName name="NWC_T_Mat" localSheetId="16">[1]Проект!$B$729</definedName>
    <definedName name="NWC_T_Mat" localSheetId="5">[1]Проект!$B$729</definedName>
    <definedName name="NWC_T_Mat" localSheetId="2">[1]Проект!$B$729</definedName>
    <definedName name="NWC_T_Mat">[1]Проект!$B$729</definedName>
    <definedName name="PeriodTitle" localSheetId="16">[1]Проект!$F$32:$BB$32</definedName>
    <definedName name="PeriodTitle" localSheetId="5">[1]Проект!$F$32:$BB$32</definedName>
    <definedName name="PeriodTitle" localSheetId="2">[1]Проект!$F$32:$BB$32</definedName>
    <definedName name="PeriodTitle">[1]Проект!$F$32:$BB$32</definedName>
    <definedName name="PRJ_COUNT" localSheetId="16">#REF!</definedName>
    <definedName name="PRJ_COUNT" localSheetId="15">#REF!</definedName>
    <definedName name="PRJ_COUNT" localSheetId="19">#REF!</definedName>
    <definedName name="PRJ_COUNT" localSheetId="12">#REF!</definedName>
    <definedName name="PRJ_COUNT" localSheetId="5">#REF!</definedName>
    <definedName name="PRJ_COUNT" localSheetId="8">#REF!</definedName>
    <definedName name="PRJ_COUNT">#REF!</definedName>
    <definedName name="PRJ_Len" localSheetId="16">[1]Проект!$D$8</definedName>
    <definedName name="PRJ_Len" localSheetId="5">[1]Проект!$D$8</definedName>
    <definedName name="PRJ_Len" localSheetId="2">[1]Проект!$D$8</definedName>
    <definedName name="PRJ_Len">[1]Проект!$D$8</definedName>
    <definedName name="PRJ_Protected" localSheetId="16">[1]Проект!$D$18</definedName>
    <definedName name="PRJ_Protected" localSheetId="5">[1]Проект!$D$18</definedName>
    <definedName name="PRJ_Protected" localSheetId="2">[1]Проект!$D$18</definedName>
    <definedName name="PRJ_Protected">[1]Проект!$D$18</definedName>
    <definedName name="PRJ_StartDate" localSheetId="16">[1]Проект!$D$7</definedName>
    <definedName name="PRJ_StartDate" localSheetId="5">[1]Проект!$D$7</definedName>
    <definedName name="PRJ_StartDate" localSheetId="2">[1]Проект!$D$7</definedName>
    <definedName name="PRJ_StartDate">[1]Проект!$D$7</definedName>
    <definedName name="PRJ_StartMon" localSheetId="16">[1]Проект!$F$26</definedName>
    <definedName name="PRJ_StartMon" localSheetId="5">[1]Проект!$F$26</definedName>
    <definedName name="PRJ_StartMon" localSheetId="2">[1]Проект!$F$26</definedName>
    <definedName name="PRJ_StartMon">[1]Проект!$F$26</definedName>
    <definedName name="PRJ_StartYear" localSheetId="16">[1]Проект!$F$25</definedName>
    <definedName name="PRJ_StartYear" localSheetId="5">[1]Проект!$F$25</definedName>
    <definedName name="PRJ_StartYear" localSheetId="2">[1]Проект!$F$25</definedName>
    <definedName name="PRJ_StartYear">[1]Проект!$F$25</definedName>
    <definedName name="PRJ_Step" localSheetId="16">[1]Проект!$D$10</definedName>
    <definedName name="PRJ_Step" localSheetId="5">[1]Проект!$D$10</definedName>
    <definedName name="PRJ_Step" localSheetId="2">[1]Проект!$D$10</definedName>
    <definedName name="PRJ_Step">[1]Проект!$D$10</definedName>
    <definedName name="PRJ_Step_SName" localSheetId="16">[1]Проект!$E$9</definedName>
    <definedName name="PRJ_Step_SName" localSheetId="5">[1]Проект!$E$9</definedName>
    <definedName name="PRJ_Step_SName" localSheetId="2">[1]Проект!$E$9</definedName>
    <definedName name="PRJ_Step_SName">[1]Проект!$E$9</definedName>
    <definedName name="PRJ_StepType" localSheetId="16">[1]Проект!$D$9</definedName>
    <definedName name="PRJ_StepType" localSheetId="5">[1]Проект!$D$9</definedName>
    <definedName name="PRJ_StepType" localSheetId="2">[1]Проект!$D$9</definedName>
    <definedName name="PRJ_StepType">[1]Проект!$D$9</definedName>
    <definedName name="ProfitTax" localSheetId="16">[1]Проект!$B$918</definedName>
    <definedName name="ProfitTax" localSheetId="5">[1]Проект!$B$918</definedName>
    <definedName name="ProfitTax" localSheetId="2">[1]Проект!$B$918</definedName>
    <definedName name="ProfitTax">[1]Проект!$B$918</definedName>
    <definedName name="ProfitTax_Period" localSheetId="16">[1]Проект!$B$919</definedName>
    <definedName name="ProfitTax_Period" localSheetId="5">[1]Проект!$B$919</definedName>
    <definedName name="ProfitTax_Period" localSheetId="2">[1]Проект!$B$919</definedName>
    <definedName name="ProfitTax_Period">[1]Проект!$B$919</definedName>
    <definedName name="rf0yield" localSheetId="16">#REF!</definedName>
    <definedName name="rf0yield" localSheetId="15">#REF!</definedName>
    <definedName name="rf0yield" localSheetId="5">#REF!</definedName>
    <definedName name="rf0yield" localSheetId="8">#REF!</definedName>
    <definedName name="rf0yield">#REF!</definedName>
    <definedName name="rf10yield" localSheetId="16">#REF!</definedName>
    <definedName name="rf10yield" localSheetId="15">#REF!</definedName>
    <definedName name="rf10yield" localSheetId="5">#REF!</definedName>
    <definedName name="rf10yield" localSheetId="8">#REF!</definedName>
    <definedName name="rf10yield">#REF!</definedName>
    <definedName name="rf11yield" localSheetId="16">#REF!</definedName>
    <definedName name="rf11yield" localSheetId="15">#REF!</definedName>
    <definedName name="rf11yield" localSheetId="5">#REF!</definedName>
    <definedName name="rf11yield" localSheetId="8">#REF!</definedName>
    <definedName name="rf11yield">#REF!</definedName>
    <definedName name="rf12yield">#REF!</definedName>
    <definedName name="rf1yield">#REF!</definedName>
    <definedName name="rf2yield">#REF!</definedName>
    <definedName name="rf3yield">#REF!</definedName>
    <definedName name="rf4yield">#REF!</definedName>
    <definedName name="rf5yield">#REF!</definedName>
    <definedName name="rf6yield">#REF!</definedName>
    <definedName name="rf7yield">#REF!</definedName>
    <definedName name="rf8yield">#REF!</definedName>
    <definedName name="rf9yield">#REF!</definedName>
    <definedName name="rfinterrow">#REF!</definedName>
    <definedName name="rfplants">#REF!</definedName>
    <definedName name="rfrows">#REF!</definedName>
    <definedName name="rp0yield">#REF!</definedName>
    <definedName name="rp10yield">#REF!</definedName>
    <definedName name="rp11yield">#REF!</definedName>
    <definedName name="rp12yield">#REF!</definedName>
    <definedName name="rp1yield">#REF!</definedName>
    <definedName name="rp2yield">#REF!</definedName>
    <definedName name="rp3yield">#REF!</definedName>
    <definedName name="rp4yield">#REF!</definedName>
    <definedName name="rp5yield">#REF!</definedName>
    <definedName name="rp6yield">#REF!</definedName>
    <definedName name="rp7yield">#REF!</definedName>
    <definedName name="rp8yield">#REF!</definedName>
    <definedName name="rp9yield">#REF!</definedName>
    <definedName name="rpinterrow">#REF!</definedName>
    <definedName name="rpplants">#REF!</definedName>
    <definedName name="rprows">#REF!</definedName>
    <definedName name="SENS_Parameter" localSheetId="16">[1]Анализ!$E$9</definedName>
    <definedName name="SENS_Parameter" localSheetId="5">[1]Анализ!$E$9</definedName>
    <definedName name="SENS_Parameter" localSheetId="2">[1]Анализ!$E$9</definedName>
    <definedName name="SENS_Parameter">[1]Анализ!$E$9</definedName>
    <definedName name="SENS_Res2" localSheetId="16">[1]Анализ!#REF!</definedName>
    <definedName name="SENS_Res2" localSheetId="15">[1]Анализ!#REF!</definedName>
    <definedName name="SENS_Res2" localSheetId="19">[1]Анализ!#REF!</definedName>
    <definedName name="SENS_Res2" localSheetId="12">[1]Анализ!#REF!</definedName>
    <definedName name="SENS_Res2" localSheetId="5">[1]Анализ!#REF!</definedName>
    <definedName name="SENS_Res2" localSheetId="8">[1]Анализ!#REF!</definedName>
    <definedName name="SENS_Res2" localSheetId="2">[1]Анализ!#REF!</definedName>
    <definedName name="SENS_Res2">[1]Анализ!#REF!</definedName>
    <definedName name="ShowRealDates" localSheetId="16">[1]Проект!$D$20</definedName>
    <definedName name="ShowRealDates" localSheetId="5">[1]Проект!$D$20</definedName>
    <definedName name="ShowRealDates" localSheetId="2">[1]Проект!$D$20</definedName>
    <definedName name="ShowRealDates">[1]Проект!$D$20</definedName>
    <definedName name="SUMM_LAST_COLUMN" localSheetId="16">#REF!</definedName>
    <definedName name="SUMM_LAST_COLUMN" localSheetId="15">#REF!</definedName>
    <definedName name="SUMM_LAST_COLUMN" localSheetId="19">#REF!</definedName>
    <definedName name="SUMM_LAST_COLUMN" localSheetId="12">#REF!</definedName>
    <definedName name="SUMM_LAST_COLUMN" localSheetId="5">#REF!</definedName>
    <definedName name="SUMM_LAST_COLUMN" localSheetId="8">#REF!</definedName>
    <definedName name="SUMM_LAST_COLUMN">#REF!</definedName>
    <definedName name="SUMM_PrjList" localSheetId="19">#REF!</definedName>
    <definedName name="SUMM_PrjList">#REF!</definedName>
    <definedName name="VAT" localSheetId="16">[1]Проект!$B$862</definedName>
    <definedName name="VAT" localSheetId="5">[1]Проект!$B$862</definedName>
    <definedName name="VAT" localSheetId="2">[1]Проект!$B$862</definedName>
    <definedName name="VAT">[1]Проект!$B$862</definedName>
    <definedName name="VAT_OnAssets" localSheetId="16">[1]Проект!$B$865</definedName>
    <definedName name="VAT_OnAssets" localSheetId="5">[1]Проект!$B$865</definedName>
    <definedName name="VAT_OnAssets" localSheetId="2">[1]Проект!$B$865</definedName>
    <definedName name="VAT_OnAssets">[1]Проект!$B$865</definedName>
    <definedName name="VAT_Period" localSheetId="16">[1]Проект!$B$863</definedName>
    <definedName name="VAT_Period" localSheetId="5">[1]Проект!$B$863</definedName>
    <definedName name="VAT_Period" localSheetId="2">[1]Проект!$B$863</definedName>
    <definedName name="VAT_Period">[1]Проект!$B$863</definedName>
    <definedName name="VAT_Repay" localSheetId="16">[1]Проект!$B$864</definedName>
    <definedName name="VAT_Repay" localSheetId="5">[1]Проект!$B$864</definedName>
    <definedName name="VAT_Repay" localSheetId="2">[1]Проект!$B$864</definedName>
    <definedName name="VAT_Repay">[1]Проект!$B$864</definedName>
  </definedNames>
  <calcPr calcId="181029"/>
</workbook>
</file>

<file path=xl/calcChain.xml><?xml version="1.0" encoding="utf-8"?>
<calcChain xmlns="http://schemas.openxmlformats.org/spreadsheetml/2006/main">
  <c r="C44" i="20" l="1"/>
  <c r="A21" i="13"/>
  <c r="A22" i="13"/>
  <c r="BM2" i="52"/>
  <c r="D16" i="19"/>
  <c r="E16" i="19"/>
  <c r="F16" i="19"/>
  <c r="G16" i="19"/>
  <c r="H16" i="19"/>
  <c r="I16" i="19"/>
  <c r="J16" i="19"/>
  <c r="K16" i="19"/>
  <c r="L16" i="19"/>
  <c r="M16" i="19"/>
  <c r="N16" i="19"/>
  <c r="O16" i="19"/>
  <c r="P16" i="19"/>
  <c r="Q16" i="19"/>
  <c r="R16" i="19"/>
  <c r="S16" i="19"/>
  <c r="T16" i="19"/>
  <c r="U16" i="19"/>
  <c r="V16" i="19"/>
  <c r="W16" i="19"/>
  <c r="X16" i="19"/>
  <c r="Y16" i="19"/>
  <c r="Z16" i="19"/>
  <c r="AA16" i="19"/>
  <c r="AB16" i="19"/>
  <c r="AC16" i="19"/>
  <c r="AD16" i="19"/>
  <c r="AE16" i="19"/>
  <c r="AF16" i="19"/>
  <c r="AG16" i="19"/>
  <c r="AH16" i="19"/>
  <c r="AI16" i="19"/>
  <c r="AJ16" i="19"/>
  <c r="AK16" i="19"/>
  <c r="AL16" i="19"/>
  <c r="AM16" i="19"/>
  <c r="AN16" i="19"/>
  <c r="AO16" i="19"/>
  <c r="AP16" i="19"/>
  <c r="AQ16" i="19"/>
  <c r="AR16" i="19"/>
  <c r="AS16" i="19"/>
  <c r="AT16" i="19"/>
  <c r="AU16" i="19"/>
  <c r="AV16" i="19"/>
  <c r="AW16" i="19"/>
  <c r="AX16" i="19"/>
  <c r="AY16" i="19"/>
  <c r="AZ16" i="19"/>
  <c r="BA16" i="19"/>
  <c r="BB16" i="19"/>
  <c r="BC16" i="19"/>
  <c r="BD16" i="19"/>
  <c r="BE16" i="19"/>
  <c r="BF16" i="19"/>
  <c r="BG16" i="19"/>
  <c r="BH16" i="19"/>
  <c r="BI16" i="19"/>
  <c r="BJ16" i="19"/>
  <c r="E19" i="19"/>
  <c r="C16" i="19"/>
  <c r="C3" i="52"/>
  <c r="C2" i="52" s="1"/>
  <c r="BK25" i="52"/>
  <c r="C24" i="52"/>
  <c r="B11" i="52"/>
  <c r="B10" i="52"/>
  <c r="B8" i="52"/>
  <c r="D5" i="52"/>
  <c r="E5" i="52" s="1"/>
  <c r="E27" i="52" s="1"/>
  <c r="E19" i="52" s="1"/>
  <c r="C1" i="52" l="1"/>
  <c r="D3" i="52"/>
  <c r="D1" i="52" s="1"/>
  <c r="C27" i="52"/>
  <c r="C28" i="52"/>
  <c r="C19" i="52"/>
  <c r="C19" i="19" s="1"/>
  <c r="C26" i="52"/>
  <c r="C20" i="52" s="1"/>
  <c r="F5" i="52"/>
  <c r="E26" i="52"/>
  <c r="E20" i="52" s="1"/>
  <c r="E3" i="52"/>
  <c r="D2" i="52"/>
  <c r="C4" i="52"/>
  <c r="D27" i="52"/>
  <c r="D26" i="52" s="1"/>
  <c r="BN2" i="52"/>
  <c r="E21" i="52" l="1"/>
  <c r="E18" i="19"/>
  <c r="E17" i="19" s="1"/>
  <c r="D16" i="25"/>
  <c r="D24" i="52"/>
  <c r="C25" i="48"/>
  <c r="C21" i="52"/>
  <c r="B16" i="25"/>
  <c r="C18" i="19"/>
  <c r="C17" i="19" s="1"/>
  <c r="D20" i="52"/>
  <c r="BO2" i="52"/>
  <c r="D4" i="52"/>
  <c r="E2" i="52"/>
  <c r="F3" i="52"/>
  <c r="E1" i="52"/>
  <c r="F27" i="52"/>
  <c r="F19" i="52" s="1"/>
  <c r="F19" i="19" s="1"/>
  <c r="G5" i="52"/>
  <c r="D19" i="52"/>
  <c r="D19" i="19" s="1"/>
  <c r="D28" i="52"/>
  <c r="D18" i="19" l="1"/>
  <c r="C16" i="25"/>
  <c r="E24" i="52"/>
  <c r="E28" i="52" s="1"/>
  <c r="D25" i="48"/>
  <c r="D17" i="19"/>
  <c r="F26" i="52"/>
  <c r="F20" i="52" s="1"/>
  <c r="D21" i="52"/>
  <c r="H5" i="52"/>
  <c r="G27" i="52"/>
  <c r="G19" i="52" s="1"/>
  <c r="G19" i="19" s="1"/>
  <c r="G3" i="52"/>
  <c r="F1" i="52"/>
  <c r="F2" i="52"/>
  <c r="E4" i="52"/>
  <c r="BP2" i="52"/>
  <c r="F24" i="52" l="1"/>
  <c r="F28" i="52" s="1"/>
  <c r="E25" i="48"/>
  <c r="F21" i="52"/>
  <c r="F18" i="19"/>
  <c r="F17" i="19" s="1"/>
  <c r="E16" i="25"/>
  <c r="G26" i="52"/>
  <c r="G20" i="52" s="1"/>
  <c r="G2" i="52"/>
  <c r="F4" i="52"/>
  <c r="G1" i="52"/>
  <c r="H3" i="52"/>
  <c r="BQ2" i="52"/>
  <c r="I5" i="52"/>
  <c r="H27" i="52"/>
  <c r="H19" i="52" s="1"/>
  <c r="H19" i="19" s="1"/>
  <c r="G21" i="52" l="1"/>
  <c r="G18" i="19"/>
  <c r="G17" i="19" s="1"/>
  <c r="F16" i="25"/>
  <c r="G24" i="52"/>
  <c r="G28" i="52" s="1"/>
  <c r="F25" i="48"/>
  <c r="H26" i="52"/>
  <c r="H20" i="52" s="1"/>
  <c r="BR2" i="52"/>
  <c r="I27" i="52"/>
  <c r="I26" i="52" s="1"/>
  <c r="J5" i="52"/>
  <c r="I3" i="52"/>
  <c r="H2" i="52"/>
  <c r="H1" i="52"/>
  <c r="G4" i="52"/>
  <c r="H21" i="52" l="1"/>
  <c r="G16" i="25"/>
  <c r="H18" i="19"/>
  <c r="H17" i="19" s="1"/>
  <c r="H24" i="52"/>
  <c r="H28" i="52" s="1"/>
  <c r="G25" i="48"/>
  <c r="J27" i="52"/>
  <c r="J19" i="52" s="1"/>
  <c r="J19" i="19" s="1"/>
  <c r="K5" i="52"/>
  <c r="H4" i="52"/>
  <c r="J3" i="52"/>
  <c r="I2" i="52"/>
  <c r="I1" i="52"/>
  <c r="I20" i="52"/>
  <c r="I19" i="52"/>
  <c r="I21" i="52" l="1"/>
  <c r="I19" i="19"/>
  <c r="I18" i="19"/>
  <c r="I17" i="19" s="1"/>
  <c r="H16" i="25"/>
  <c r="I24" i="52"/>
  <c r="I28" i="52" s="1"/>
  <c r="H25" i="48"/>
  <c r="J26" i="52"/>
  <c r="J20" i="52" s="1"/>
  <c r="L5" i="52"/>
  <c r="K27" i="52"/>
  <c r="K26" i="52" s="1"/>
  <c r="J2" i="52"/>
  <c r="J1" i="52"/>
  <c r="K3" i="52"/>
  <c r="I4" i="52"/>
  <c r="J21" i="52" l="1"/>
  <c r="J18" i="19"/>
  <c r="J17" i="19" s="1"/>
  <c r="I16" i="25"/>
  <c r="J24" i="52"/>
  <c r="J28" i="52" s="1"/>
  <c r="I25" i="48"/>
  <c r="L3" i="52"/>
  <c r="J4" i="52"/>
  <c r="K2" i="52"/>
  <c r="K1" i="52"/>
  <c r="K20" i="52"/>
  <c r="K19" i="52"/>
  <c r="K19" i="19" s="1"/>
  <c r="L27" i="52"/>
  <c r="L19" i="52" s="1"/>
  <c r="L19" i="19" s="1"/>
  <c r="M5" i="52"/>
  <c r="J16" i="25" l="1"/>
  <c r="K18" i="19"/>
  <c r="K17" i="19" s="1"/>
  <c r="K24" i="52"/>
  <c r="K28" i="52" s="1"/>
  <c r="J25" i="48"/>
  <c r="L26" i="52"/>
  <c r="L20" i="52" s="1"/>
  <c r="M27" i="52"/>
  <c r="M19" i="52" s="1"/>
  <c r="M19" i="19" s="1"/>
  <c r="N5" i="52"/>
  <c r="M26" i="52"/>
  <c r="M20" i="52" s="1"/>
  <c r="K21" i="52"/>
  <c r="L2" i="52"/>
  <c r="K4" i="52"/>
  <c r="M3" i="52"/>
  <c r="L1" i="52"/>
  <c r="L21" i="52" l="1"/>
  <c r="L18" i="19"/>
  <c r="L17" i="19" s="1"/>
  <c r="K16" i="25"/>
  <c r="M18" i="19"/>
  <c r="M17" i="19" s="1"/>
  <c r="L16" i="25"/>
  <c r="L24" i="52"/>
  <c r="L28" i="52" s="1"/>
  <c r="K25" i="48"/>
  <c r="L4" i="52"/>
  <c r="N3" i="52"/>
  <c r="M2" i="52"/>
  <c r="M1" i="52"/>
  <c r="O5" i="52"/>
  <c r="N27" i="52"/>
  <c r="N19" i="52" s="1"/>
  <c r="N19" i="19" s="1"/>
  <c r="M21" i="52"/>
  <c r="M24" i="52" l="1"/>
  <c r="M28" i="52" s="1"/>
  <c r="L25" i="48"/>
  <c r="N26" i="52"/>
  <c r="N20" i="52" s="1"/>
  <c r="M4" i="52"/>
  <c r="O3" i="52"/>
  <c r="N2" i="52"/>
  <c r="N1" i="52"/>
  <c r="O27" i="52"/>
  <c r="O19" i="52" s="1"/>
  <c r="O19" i="19" s="1"/>
  <c r="O26" i="52"/>
  <c r="O20" i="52" s="1"/>
  <c r="P5" i="52"/>
  <c r="N16" i="25" l="1"/>
  <c r="O18" i="19"/>
  <c r="O17" i="19" s="1"/>
  <c r="N21" i="52"/>
  <c r="M16" i="25"/>
  <c r="N18" i="19"/>
  <c r="N17" i="19" s="1"/>
  <c r="N24" i="52"/>
  <c r="N28" i="52" s="1"/>
  <c r="M25" i="48"/>
  <c r="O21" i="52"/>
  <c r="N4" i="52"/>
  <c r="P3" i="52"/>
  <c r="O1" i="52"/>
  <c r="O2" i="52"/>
  <c r="Q5" i="52"/>
  <c r="P27" i="52"/>
  <c r="P19" i="52" s="1"/>
  <c r="P19" i="19" s="1"/>
  <c r="O24" i="52" l="1"/>
  <c r="O28" i="52" s="1"/>
  <c r="N25" i="48"/>
  <c r="P26" i="52"/>
  <c r="P20" i="52" s="1"/>
  <c r="Q27" i="52"/>
  <c r="Q19" i="52" s="1"/>
  <c r="Q19" i="19" s="1"/>
  <c r="R5" i="52"/>
  <c r="P1" i="52"/>
  <c r="P2" i="52"/>
  <c r="O4" i="52"/>
  <c r="Q3" i="52"/>
  <c r="P21" i="52" l="1"/>
  <c r="O16" i="25"/>
  <c r="P18" i="19"/>
  <c r="P17" i="19" s="1"/>
  <c r="P24" i="52"/>
  <c r="P28" i="52" s="1"/>
  <c r="O25" i="48"/>
  <c r="Q26" i="52"/>
  <c r="Q20" i="52" s="1"/>
  <c r="S5" i="52"/>
  <c r="R27" i="52"/>
  <c r="R19" i="52" s="1"/>
  <c r="R19" i="19" s="1"/>
  <c r="Q21" i="52"/>
  <c r="P4" i="52"/>
  <c r="Q2" i="52"/>
  <c r="R3" i="52"/>
  <c r="Q1" i="52"/>
  <c r="P16" i="25" l="1"/>
  <c r="Q18" i="19"/>
  <c r="Q17" i="19" s="1"/>
  <c r="Q24" i="52"/>
  <c r="Q28" i="52" s="1"/>
  <c r="P25" i="48"/>
  <c r="R26" i="52"/>
  <c r="R20" i="52" s="1"/>
  <c r="S27" i="52"/>
  <c r="S19" i="52" s="1"/>
  <c r="S19" i="19" s="1"/>
  <c r="T5" i="52"/>
  <c r="R1" i="52"/>
  <c r="Q4" i="52"/>
  <c r="S3" i="52"/>
  <c r="R2" i="52"/>
  <c r="R21" i="52" l="1"/>
  <c r="Q16" i="25"/>
  <c r="R18" i="19"/>
  <c r="R17" i="19" s="1"/>
  <c r="R24" i="52"/>
  <c r="R28" i="52" s="1"/>
  <c r="Q25" i="48"/>
  <c r="S26" i="52"/>
  <c r="S20" i="52" s="1"/>
  <c r="U5" i="52"/>
  <c r="T27" i="52"/>
  <c r="T19" i="52" s="1"/>
  <c r="T19" i="19" s="1"/>
  <c r="S2" i="52"/>
  <c r="T3" i="52"/>
  <c r="R4" i="52"/>
  <c r="S1" i="52"/>
  <c r="S21" i="52"/>
  <c r="S18" i="19" l="1"/>
  <c r="S17" i="19" s="1"/>
  <c r="R16" i="25"/>
  <c r="S24" i="52"/>
  <c r="S28" i="52" s="1"/>
  <c r="R25" i="48"/>
  <c r="T26" i="52"/>
  <c r="T20" i="52" s="1"/>
  <c r="S4" i="52"/>
  <c r="U3" i="52"/>
  <c r="T2" i="52"/>
  <c r="T1" i="52"/>
  <c r="V5" i="52"/>
  <c r="U27" i="52"/>
  <c r="U19" i="52" s="1"/>
  <c r="U19" i="19" s="1"/>
  <c r="T21" i="52" l="1"/>
  <c r="T18" i="19"/>
  <c r="T17" i="19" s="1"/>
  <c r="S16" i="25"/>
  <c r="T24" i="52"/>
  <c r="T28" i="52" s="1"/>
  <c r="S25" i="48"/>
  <c r="U26" i="52"/>
  <c r="U20" i="52" s="1"/>
  <c r="U21" i="52"/>
  <c r="W5" i="52"/>
  <c r="V27" i="52"/>
  <c r="V19" i="52" s="1"/>
  <c r="V19" i="19" s="1"/>
  <c r="V3" i="52"/>
  <c r="U1" i="52"/>
  <c r="T4" i="52"/>
  <c r="U2" i="52"/>
  <c r="U18" i="19" l="1"/>
  <c r="U17" i="19" s="1"/>
  <c r="T16" i="25"/>
  <c r="U24" i="52"/>
  <c r="U28" i="52" s="1"/>
  <c r="T25" i="48"/>
  <c r="V26" i="52"/>
  <c r="V20" i="52" s="1"/>
  <c r="U4" i="52"/>
  <c r="V1" i="52"/>
  <c r="V2" i="52"/>
  <c r="W3" i="52"/>
  <c r="W27" i="52"/>
  <c r="W19" i="52" s="1"/>
  <c r="W19" i="19" s="1"/>
  <c r="X5" i="52"/>
  <c r="V21" i="52" l="1"/>
  <c r="U16" i="25"/>
  <c r="V18" i="19"/>
  <c r="V17" i="19" s="1"/>
  <c r="V24" i="52"/>
  <c r="V28" i="52" s="1"/>
  <c r="U25" i="48"/>
  <c r="W26" i="52"/>
  <c r="W20" i="52" s="1"/>
  <c r="X3" i="52"/>
  <c r="W2" i="52"/>
  <c r="W1" i="52"/>
  <c r="V4" i="52"/>
  <c r="Y5" i="52"/>
  <c r="X27" i="52"/>
  <c r="X19" i="52" s="1"/>
  <c r="X19" i="19" s="1"/>
  <c r="W21" i="52"/>
  <c r="V16" i="25" l="1"/>
  <c r="W18" i="19"/>
  <c r="W17" i="19" s="1"/>
  <c r="W24" i="52"/>
  <c r="W28" i="52" s="1"/>
  <c r="V25" i="48"/>
  <c r="X26" i="52"/>
  <c r="X20" i="52" s="1"/>
  <c r="Y3" i="52"/>
  <c r="X2" i="52"/>
  <c r="W4" i="52"/>
  <c r="X1" i="52"/>
  <c r="Z5" i="52"/>
  <c r="Y27" i="52"/>
  <c r="Y19" i="52" s="1"/>
  <c r="Y19" i="19" s="1"/>
  <c r="X21" i="52" l="1"/>
  <c r="W16" i="25"/>
  <c r="X18" i="19"/>
  <c r="X17" i="19" s="1"/>
  <c r="X24" i="52"/>
  <c r="X28" i="52" s="1"/>
  <c r="W25" i="48"/>
  <c r="Y26" i="52"/>
  <c r="Y20" i="52" s="1"/>
  <c r="Z27" i="52"/>
  <c r="Z19" i="52" s="1"/>
  <c r="Z19" i="19" s="1"/>
  <c r="AA5" i="52"/>
  <c r="Y2" i="52"/>
  <c r="X4" i="52"/>
  <c r="Z3" i="52"/>
  <c r="Y1" i="52"/>
  <c r="Y21" i="52" l="1"/>
  <c r="X16" i="25"/>
  <c r="Y18" i="19"/>
  <c r="Y17" i="19" s="1"/>
  <c r="Y24" i="52"/>
  <c r="Y28" i="52" s="1"/>
  <c r="X25" i="48"/>
  <c r="Z26" i="52"/>
  <c r="Z20" i="52" s="1"/>
  <c r="Y4" i="52"/>
  <c r="AA3" i="52"/>
  <c r="Z1" i="52"/>
  <c r="Z2" i="52"/>
  <c r="AA27" i="52"/>
  <c r="AA19" i="52" s="1"/>
  <c r="AA19" i="19" s="1"/>
  <c r="AB5" i="52"/>
  <c r="Z21" i="52" l="1"/>
  <c r="Z18" i="19"/>
  <c r="Z17" i="19" s="1"/>
  <c r="Y16" i="25"/>
  <c r="Z24" i="52"/>
  <c r="Z28" i="52" s="1"/>
  <c r="Y25" i="48"/>
  <c r="AA26" i="52"/>
  <c r="AA20" i="52" s="1"/>
  <c r="AC5" i="52"/>
  <c r="AB27" i="52"/>
  <c r="AB19" i="52" s="1"/>
  <c r="AB19" i="19" s="1"/>
  <c r="AA2" i="52"/>
  <c r="AB3" i="52"/>
  <c r="Z4" i="52"/>
  <c r="AA1" i="52"/>
  <c r="AA21" i="52" l="1"/>
  <c r="Z16" i="25"/>
  <c r="AA18" i="19"/>
  <c r="AA17" i="19" s="1"/>
  <c r="AA24" i="52"/>
  <c r="AA28" i="52" s="1"/>
  <c r="Z25" i="48"/>
  <c r="AB26" i="52"/>
  <c r="AB20" i="52" s="1"/>
  <c r="AB2" i="52"/>
  <c r="AB1" i="52"/>
  <c r="AA4" i="52"/>
  <c r="AC3" i="52"/>
  <c r="AC27" i="52"/>
  <c r="AC19" i="52" s="1"/>
  <c r="AC19" i="19" s="1"/>
  <c r="AD5" i="52"/>
  <c r="AB21" i="52" l="1"/>
  <c r="AB18" i="19"/>
  <c r="AB17" i="19" s="1"/>
  <c r="AA16" i="25"/>
  <c r="AB24" i="52"/>
  <c r="AB28" i="52" s="1"/>
  <c r="AA25" i="48"/>
  <c r="AC26" i="52"/>
  <c r="AC20" i="52" s="1"/>
  <c r="AD27" i="52"/>
  <c r="AD19" i="52" s="1"/>
  <c r="AD19" i="19" s="1"/>
  <c r="AE5" i="52"/>
  <c r="AC21" i="52"/>
  <c r="AB4" i="52"/>
  <c r="AD3" i="52"/>
  <c r="AC1" i="52"/>
  <c r="AC2" i="52"/>
  <c r="AC18" i="19" l="1"/>
  <c r="AC17" i="19" s="1"/>
  <c r="AB16" i="25"/>
  <c r="AC24" i="52"/>
  <c r="AC28" i="52" s="1"/>
  <c r="AB25" i="48"/>
  <c r="AD26" i="52"/>
  <c r="AD20" i="52" s="1"/>
  <c r="AC4" i="52"/>
  <c r="AE3" i="52"/>
  <c r="AD1" i="52"/>
  <c r="AD2" i="52"/>
  <c r="AE27" i="52"/>
  <c r="AE19" i="52" s="1"/>
  <c r="AE19" i="19" s="1"/>
  <c r="AF5" i="52"/>
  <c r="AE26" i="52"/>
  <c r="AE20" i="52" s="1"/>
  <c r="AE18" i="19" l="1"/>
  <c r="AE17" i="19" s="1"/>
  <c r="AD16" i="25"/>
  <c r="AD21" i="52"/>
  <c r="AD18" i="19"/>
  <c r="AD17" i="19" s="1"/>
  <c r="AC16" i="25"/>
  <c r="AD24" i="52"/>
  <c r="AD28" i="52" s="1"/>
  <c r="AC25" i="48"/>
  <c r="AF27" i="52"/>
  <c r="AF19" i="52" s="1"/>
  <c r="AF19" i="19" s="1"/>
  <c r="AG5" i="52"/>
  <c r="AE21" i="52"/>
  <c r="AE1" i="52"/>
  <c r="AE2" i="52"/>
  <c r="AD4" i="52"/>
  <c r="AF3" i="52"/>
  <c r="AE24" i="52" l="1"/>
  <c r="AE28" i="52" s="1"/>
  <c r="AD25" i="48"/>
  <c r="AF26" i="52"/>
  <c r="AF20" i="52" s="1"/>
  <c r="AE4" i="52"/>
  <c r="AG3" i="52"/>
  <c r="AF1" i="52"/>
  <c r="AF2" i="52"/>
  <c r="AG27" i="52"/>
  <c r="AG19" i="52" s="1"/>
  <c r="AG19" i="19" s="1"/>
  <c r="AG26" i="52"/>
  <c r="AG20" i="52" s="1"/>
  <c r="AH5" i="52"/>
  <c r="AF21" i="52"/>
  <c r="AF16" i="25" l="1"/>
  <c r="AG18" i="19"/>
  <c r="AG17" i="19" s="1"/>
  <c r="AF18" i="19"/>
  <c r="AF17" i="19" s="1"/>
  <c r="AE16" i="25"/>
  <c r="AF24" i="52"/>
  <c r="AF28" i="52" s="1"/>
  <c r="AE25" i="48"/>
  <c r="AH27" i="52"/>
  <c r="AH19" i="52" s="1"/>
  <c r="AH19" i="19" s="1"/>
  <c r="AI5" i="52"/>
  <c r="AG21" i="52"/>
  <c r="AF4" i="52"/>
  <c r="AG2" i="52"/>
  <c r="AG1" i="52"/>
  <c r="AH3" i="52"/>
  <c r="AG24" i="52" l="1"/>
  <c r="AG28" i="52" s="1"/>
  <c r="AF25" i="48"/>
  <c r="AH26" i="52"/>
  <c r="AH20" i="52" s="1"/>
  <c r="AH1" i="52"/>
  <c r="AH2" i="52"/>
  <c r="AG4" i="52"/>
  <c r="AI3" i="52"/>
  <c r="AI27" i="52"/>
  <c r="AI19" i="52" s="1"/>
  <c r="AI19" i="19" s="1"/>
  <c r="AJ5" i="52"/>
  <c r="AH21" i="52" l="1"/>
  <c r="AG16" i="25"/>
  <c r="AH18" i="19"/>
  <c r="AH17" i="19" s="1"/>
  <c r="AI26" i="52"/>
  <c r="AI20" i="52" s="1"/>
  <c r="AH24" i="52"/>
  <c r="AH28" i="52" s="1"/>
  <c r="AG25" i="48"/>
  <c r="AJ27" i="52"/>
  <c r="AJ19" i="52" s="1"/>
  <c r="AJ19" i="19" s="1"/>
  <c r="AK5" i="52"/>
  <c r="AI21" i="52"/>
  <c r="AI2" i="52"/>
  <c r="AH4" i="52"/>
  <c r="AJ3" i="52"/>
  <c r="AI1" i="52"/>
  <c r="AI24" i="52" l="1"/>
  <c r="AI28" i="52" s="1"/>
  <c r="AH25" i="48"/>
  <c r="AI18" i="19"/>
  <c r="AI17" i="19" s="1"/>
  <c r="AH16" i="25"/>
  <c r="AJ26" i="52"/>
  <c r="AJ20" i="52" s="1"/>
  <c r="AJ2" i="52"/>
  <c r="AK3" i="52"/>
  <c r="AI4" i="52"/>
  <c r="AJ1" i="52"/>
  <c r="AL5" i="52"/>
  <c r="AK27" i="52"/>
  <c r="AK19" i="52" s="1"/>
  <c r="AK19" i="19" s="1"/>
  <c r="AJ21" i="52" l="1"/>
  <c r="AJ18" i="19"/>
  <c r="AJ17" i="19" s="1"/>
  <c r="AI16" i="25"/>
  <c r="AJ24" i="52"/>
  <c r="AJ28" i="52" s="1"/>
  <c r="AI25" i="48"/>
  <c r="AK26" i="52"/>
  <c r="AK20" i="52" s="1"/>
  <c r="AJ4" i="52"/>
  <c r="AL3" i="52"/>
  <c r="AK2" i="52"/>
  <c r="AK1" i="52"/>
  <c r="AL27" i="52"/>
  <c r="AL19" i="52" s="1"/>
  <c r="AL19" i="19" s="1"/>
  <c r="AM5" i="52"/>
  <c r="AK21" i="52" l="1"/>
  <c r="AK18" i="19"/>
  <c r="AK17" i="19" s="1"/>
  <c r="AJ16" i="25"/>
  <c r="AK24" i="52"/>
  <c r="AK28" i="52" s="1"/>
  <c r="AJ25" i="48"/>
  <c r="AL26" i="52"/>
  <c r="AL20" i="52" s="1"/>
  <c r="AN5" i="52"/>
  <c r="AM27" i="52"/>
  <c r="AM19" i="52" s="1"/>
  <c r="AM19" i="19" s="1"/>
  <c r="AM3" i="52"/>
  <c r="AL1" i="52"/>
  <c r="AK4" i="52"/>
  <c r="AL2" i="52"/>
  <c r="AL21" i="52" l="1"/>
  <c r="AK16" i="25"/>
  <c r="AL18" i="19"/>
  <c r="AL17" i="19" s="1"/>
  <c r="AL24" i="52"/>
  <c r="AL28" i="52" s="1"/>
  <c r="AK25" i="48"/>
  <c r="AM26" i="52"/>
  <c r="AM20" i="52" s="1"/>
  <c r="AL4" i="52"/>
  <c r="AN3" i="52"/>
  <c r="AM2" i="52"/>
  <c r="AM1" i="52"/>
  <c r="AO5" i="52"/>
  <c r="AN27" i="52"/>
  <c r="AN19" i="52" s="1"/>
  <c r="AN19" i="19" s="1"/>
  <c r="AM21" i="52" l="1"/>
  <c r="AL16" i="25"/>
  <c r="AM18" i="19"/>
  <c r="AM17" i="19" s="1"/>
  <c r="AM24" i="52"/>
  <c r="AM28" i="52" s="1"/>
  <c r="AL25" i="48"/>
  <c r="AN26" i="52"/>
  <c r="AN20" i="52" s="1"/>
  <c r="AP5" i="52"/>
  <c r="AO27" i="52"/>
  <c r="AO19" i="52" s="1"/>
  <c r="AO19" i="19" s="1"/>
  <c r="AO3" i="52"/>
  <c r="AM4" i="52"/>
  <c r="AN2" i="52"/>
  <c r="AN1" i="52"/>
  <c r="AN21" i="52" l="1"/>
  <c r="AM16" i="25"/>
  <c r="AN18" i="19"/>
  <c r="AN17" i="19" s="1"/>
  <c r="AN24" i="52"/>
  <c r="AN28" i="52" s="1"/>
  <c r="AM25" i="48"/>
  <c r="AO26" i="52"/>
  <c r="AO20" i="52" s="1"/>
  <c r="AO2" i="52"/>
  <c r="AN4" i="52"/>
  <c r="AP3" i="52"/>
  <c r="AO1" i="52"/>
  <c r="AQ5" i="52"/>
  <c r="AP27" i="52"/>
  <c r="AP19" i="52" s="1"/>
  <c r="AP19" i="19" s="1"/>
  <c r="AO21" i="52" l="1"/>
  <c r="AO18" i="19"/>
  <c r="AO17" i="19" s="1"/>
  <c r="AN16" i="25"/>
  <c r="AO24" i="52"/>
  <c r="AO28" i="52" s="1"/>
  <c r="AN25" i="48"/>
  <c r="AP26" i="52"/>
  <c r="AP20" i="52" s="1"/>
  <c r="AQ27" i="52"/>
  <c r="AQ19" i="52" s="1"/>
  <c r="AQ19" i="19" s="1"/>
  <c r="AR5" i="52"/>
  <c r="AP2" i="52"/>
  <c r="AP1" i="52"/>
  <c r="AQ3" i="52"/>
  <c r="AO4" i="52"/>
  <c r="AP21" i="52" l="1"/>
  <c r="AP18" i="19"/>
  <c r="AP17" i="19" s="1"/>
  <c r="AO16" i="25"/>
  <c r="AP24" i="52"/>
  <c r="AP28" i="52" s="1"/>
  <c r="AO25" i="48"/>
  <c r="AQ26" i="52"/>
  <c r="AQ20" i="52" s="1"/>
  <c r="AP4" i="52"/>
  <c r="AR3" i="52"/>
  <c r="AQ2" i="52"/>
  <c r="AQ1" i="52"/>
  <c r="AR27" i="52"/>
  <c r="AR19" i="52" s="1"/>
  <c r="AR19" i="19" s="1"/>
  <c r="AS5" i="52"/>
  <c r="AQ21" i="52" l="1"/>
  <c r="AQ18" i="19"/>
  <c r="AQ17" i="19" s="1"/>
  <c r="AP16" i="25"/>
  <c r="AQ24" i="52"/>
  <c r="AQ28" i="52" s="1"/>
  <c r="AP25" i="48"/>
  <c r="AR26" i="52"/>
  <c r="AR20" i="52" s="1"/>
  <c r="AS27" i="52"/>
  <c r="AS19" i="52" s="1"/>
  <c r="AS19" i="19" s="1"/>
  <c r="AT5" i="52"/>
  <c r="AR2" i="52"/>
  <c r="AQ4" i="52"/>
  <c r="AR1" i="52"/>
  <c r="AS3" i="52"/>
  <c r="AS26" i="52" l="1"/>
  <c r="AS20" i="52" s="1"/>
  <c r="AR21" i="52"/>
  <c r="AQ16" i="25"/>
  <c r="AR18" i="19"/>
  <c r="AR17" i="19" s="1"/>
  <c r="AR24" i="52"/>
  <c r="AR28" i="52" s="1"/>
  <c r="AQ25" i="48"/>
  <c r="AU5" i="52"/>
  <c r="AT27" i="52"/>
  <c r="AT19" i="52" s="1"/>
  <c r="AT19" i="19" s="1"/>
  <c r="AT26" i="52"/>
  <c r="AT20" i="52" s="1"/>
  <c r="AS2" i="52"/>
  <c r="AS1" i="52"/>
  <c r="AR4" i="52"/>
  <c r="AT3" i="52"/>
  <c r="AS21" i="52"/>
  <c r="AS16" i="25" l="1"/>
  <c r="AT18" i="19"/>
  <c r="AT17" i="19" s="1"/>
  <c r="AS24" i="52"/>
  <c r="AS28" i="52" s="1"/>
  <c r="AR25" i="48"/>
  <c r="AR16" i="25"/>
  <c r="AS18" i="19"/>
  <c r="AS17" i="19" s="1"/>
  <c r="AS4" i="52"/>
  <c r="AU3" i="52"/>
  <c r="AT2" i="52"/>
  <c r="AT1" i="52"/>
  <c r="AT21" i="52"/>
  <c r="AU27" i="52"/>
  <c r="AU19" i="52" s="1"/>
  <c r="AU19" i="19" s="1"/>
  <c r="AV5" i="52"/>
  <c r="AU26" i="52" l="1"/>
  <c r="AU20" i="52" s="1"/>
  <c r="AT24" i="52"/>
  <c r="AT28" i="52" s="1"/>
  <c r="AS25" i="48"/>
  <c r="AW5" i="52"/>
  <c r="AV27" i="52"/>
  <c r="AV19" i="52" s="1"/>
  <c r="AV19" i="19" s="1"/>
  <c r="AU21" i="52"/>
  <c r="AT4" i="52"/>
  <c r="AV3" i="52"/>
  <c r="AU1" i="52"/>
  <c r="AU2" i="52"/>
  <c r="AU24" i="52" l="1"/>
  <c r="AU28" i="52" s="1"/>
  <c r="AT25" i="48"/>
  <c r="AT16" i="25"/>
  <c r="AU18" i="19"/>
  <c r="AU17" i="19" s="1"/>
  <c r="AV26" i="52"/>
  <c r="AV20" i="52" s="1"/>
  <c r="AV1" i="52"/>
  <c r="AV2" i="52"/>
  <c r="AU4" i="52"/>
  <c r="AW3" i="52"/>
  <c r="AW27" i="52"/>
  <c r="AW19" i="52" s="1"/>
  <c r="AW19" i="19" s="1"/>
  <c r="AX5" i="52"/>
  <c r="AV21" i="52" l="1"/>
  <c r="AV18" i="19"/>
  <c r="AV17" i="19" s="1"/>
  <c r="AU16" i="25"/>
  <c r="AV24" i="52"/>
  <c r="AV28" i="52" s="1"/>
  <c r="AU25" i="48"/>
  <c r="AW26" i="52"/>
  <c r="AW20" i="52" s="1"/>
  <c r="AV4" i="52"/>
  <c r="AX3" i="52"/>
  <c r="AW2" i="52"/>
  <c r="AW1" i="52"/>
  <c r="AX27" i="52"/>
  <c r="AX19" i="52" s="1"/>
  <c r="AX19" i="19" s="1"/>
  <c r="AY5" i="52"/>
  <c r="AW21" i="52"/>
  <c r="AV16" i="25" l="1"/>
  <c r="AW18" i="19"/>
  <c r="AW17" i="19" s="1"/>
  <c r="AW24" i="52"/>
  <c r="AW28" i="52" s="1"/>
  <c r="AV25" i="48"/>
  <c r="AX26" i="52"/>
  <c r="AX20" i="52" s="1"/>
  <c r="AY27" i="52"/>
  <c r="AY19" i="52" s="1"/>
  <c r="AY19" i="19" s="1"/>
  <c r="AZ5" i="52"/>
  <c r="AW4" i="52"/>
  <c r="AX1" i="52"/>
  <c r="AY3" i="52"/>
  <c r="AX2" i="52"/>
  <c r="AX21" i="52" l="1"/>
  <c r="AW16" i="25"/>
  <c r="AX18" i="19"/>
  <c r="AX17" i="19" s="1"/>
  <c r="AX24" i="52"/>
  <c r="AX28" i="52" s="1"/>
  <c r="AW25" i="48"/>
  <c r="AY26" i="52"/>
  <c r="AY20" i="52" s="1"/>
  <c r="AY2" i="52"/>
  <c r="AY1" i="52"/>
  <c r="AX4" i="52"/>
  <c r="AZ3" i="52"/>
  <c r="BA5" i="52"/>
  <c r="AZ27" i="52"/>
  <c r="AZ19" i="52" s="1"/>
  <c r="AZ19" i="19" s="1"/>
  <c r="AY21" i="52" l="1"/>
  <c r="AY18" i="19"/>
  <c r="AY17" i="19" s="1"/>
  <c r="AX16" i="25"/>
  <c r="AY24" i="52"/>
  <c r="AY28" i="52" s="1"/>
  <c r="AX25" i="48"/>
  <c r="AZ26" i="52"/>
  <c r="AZ20" i="52" s="1"/>
  <c r="BA27" i="52"/>
  <c r="BA19" i="52" s="1"/>
  <c r="BA19" i="19" s="1"/>
  <c r="BB5" i="52"/>
  <c r="AZ2" i="52"/>
  <c r="BA3" i="52"/>
  <c r="AY4" i="52"/>
  <c r="AZ1" i="52"/>
  <c r="AZ21" i="52" l="1"/>
  <c r="AZ18" i="19"/>
  <c r="AZ17" i="19" s="1"/>
  <c r="AY16" i="25"/>
  <c r="AZ24" i="52"/>
  <c r="AZ28" i="52" s="1"/>
  <c r="AY25" i="48"/>
  <c r="BA26" i="52"/>
  <c r="BA20" i="52" s="1"/>
  <c r="BA2" i="52"/>
  <c r="BB3" i="52"/>
  <c r="BA1" i="52"/>
  <c r="AZ4" i="52"/>
  <c r="BB27" i="52"/>
  <c r="BB19" i="52" s="1"/>
  <c r="BB19" i="19" s="1"/>
  <c r="BC5" i="52"/>
  <c r="BA21" i="52" l="1"/>
  <c r="BA18" i="19"/>
  <c r="BA17" i="19" s="1"/>
  <c r="AZ16" i="25"/>
  <c r="BA24" i="52"/>
  <c r="BA28" i="52" s="1"/>
  <c r="AZ25" i="48"/>
  <c r="BB26" i="52"/>
  <c r="BB20" i="52" s="1"/>
  <c r="BC27" i="52"/>
  <c r="BC19" i="52" s="1"/>
  <c r="BC19" i="19" s="1"/>
  <c r="BD5" i="52"/>
  <c r="BA4" i="52"/>
  <c r="BB1" i="52"/>
  <c r="BC3" i="52"/>
  <c r="BB2" i="52"/>
  <c r="BB21" i="52" l="1"/>
  <c r="BB18" i="19"/>
  <c r="BB17" i="19" s="1"/>
  <c r="BA16" i="25"/>
  <c r="BB24" i="52"/>
  <c r="BB28" i="52" s="1"/>
  <c r="BA25" i="48"/>
  <c r="BC26" i="52"/>
  <c r="BC20" i="52" s="1"/>
  <c r="BC21" i="52" s="1"/>
  <c r="BD3" i="52"/>
  <c r="BC1" i="52"/>
  <c r="BB4" i="52"/>
  <c r="BC2" i="52"/>
  <c r="BE5" i="52"/>
  <c r="BD27" i="52"/>
  <c r="BD19" i="52" s="1"/>
  <c r="BD19" i="19" s="1"/>
  <c r="BC24" i="52" l="1"/>
  <c r="BC28" i="52" s="1"/>
  <c r="BB25" i="48"/>
  <c r="BC18" i="19"/>
  <c r="BC17" i="19" s="1"/>
  <c r="BB16" i="25"/>
  <c r="BD26" i="52"/>
  <c r="BD20" i="52" s="1"/>
  <c r="BF5" i="52"/>
  <c r="BE27" i="52"/>
  <c r="BE19" i="52" s="1"/>
  <c r="BE19" i="19" s="1"/>
  <c r="BE3" i="52"/>
  <c r="BC4" i="52"/>
  <c r="BD2" i="52"/>
  <c r="BD1" i="52"/>
  <c r="BD21" i="52" l="1"/>
  <c r="BC16" i="25"/>
  <c r="BD18" i="19"/>
  <c r="BD17" i="19" s="1"/>
  <c r="BD24" i="52"/>
  <c r="BD28" i="52" s="1"/>
  <c r="BC25" i="48"/>
  <c r="BE26" i="52"/>
  <c r="BE20" i="52" s="1"/>
  <c r="BE2" i="52"/>
  <c r="BD4" i="52"/>
  <c r="BF3" i="52"/>
  <c r="BE1" i="52"/>
  <c r="BF27" i="52"/>
  <c r="BF19" i="52" s="1"/>
  <c r="BF19" i="19" s="1"/>
  <c r="BG5" i="52"/>
  <c r="BE21" i="52" l="1"/>
  <c r="BE18" i="19"/>
  <c r="BE17" i="19" s="1"/>
  <c r="BD16" i="25"/>
  <c r="BE24" i="52"/>
  <c r="BE28" i="52" s="1"/>
  <c r="BD25" i="48"/>
  <c r="BF26" i="52"/>
  <c r="BF20" i="52" s="1"/>
  <c r="BF21" i="52"/>
  <c r="BH5" i="52"/>
  <c r="BG27" i="52"/>
  <c r="BG19" i="52" s="1"/>
  <c r="BG19" i="19" s="1"/>
  <c r="BF2" i="52"/>
  <c r="BE4" i="52"/>
  <c r="BG3" i="52"/>
  <c r="BF1" i="52"/>
  <c r="BF18" i="19" l="1"/>
  <c r="BF17" i="19" s="1"/>
  <c r="BE16" i="25"/>
  <c r="BF24" i="52"/>
  <c r="BF28" i="52" s="1"/>
  <c r="BE25" i="48"/>
  <c r="BG26" i="52"/>
  <c r="BG20" i="52" s="1"/>
  <c r="BG2" i="52"/>
  <c r="BG1" i="52"/>
  <c r="BF4" i="52"/>
  <c r="BH3" i="52"/>
  <c r="BH27" i="52"/>
  <c r="BH19" i="52" s="1"/>
  <c r="BH19" i="19" s="1"/>
  <c r="BI5" i="52"/>
  <c r="BG21" i="52" l="1"/>
  <c r="BF16" i="25"/>
  <c r="BG18" i="19"/>
  <c r="BG17" i="19" s="1"/>
  <c r="BG24" i="52"/>
  <c r="BG28" i="52" s="1"/>
  <c r="BF25" i="48"/>
  <c r="BH26" i="52"/>
  <c r="BH20" i="52" s="1"/>
  <c r="BI27" i="52"/>
  <c r="BI19" i="52" s="1"/>
  <c r="BI19" i="19" s="1"/>
  <c r="BJ5" i="52"/>
  <c r="BH2" i="52"/>
  <c r="BG4" i="52"/>
  <c r="BI3" i="52"/>
  <c r="BH1" i="52"/>
  <c r="BH21" i="52" l="1"/>
  <c r="BH18" i="19"/>
  <c r="BH17" i="19" s="1"/>
  <c r="BG16" i="25"/>
  <c r="BH24" i="52"/>
  <c r="BH28" i="52" s="1"/>
  <c r="BG25" i="48"/>
  <c r="BI26" i="52"/>
  <c r="BI20" i="52" s="1"/>
  <c r="BI2" i="52"/>
  <c r="BI1" i="52"/>
  <c r="BH4" i="52"/>
  <c r="BJ3" i="52"/>
  <c r="BK3" i="52" s="1"/>
  <c r="BJ4" i="52" s="1"/>
  <c r="BJ27" i="52"/>
  <c r="BJ19" i="52" s="1"/>
  <c r="BJ19" i="19" s="1"/>
  <c r="BI21" i="52"/>
  <c r="BI18" i="19" l="1"/>
  <c r="BI17" i="19" s="1"/>
  <c r="BH16" i="25"/>
  <c r="BI24" i="52"/>
  <c r="BI28" i="52" s="1"/>
  <c r="BH25" i="48"/>
  <c r="BJ26" i="52"/>
  <c r="BJ20" i="52" s="1"/>
  <c r="BJ28" i="52"/>
  <c r="BJ25" i="48" s="1"/>
  <c r="BJ2" i="52"/>
  <c r="BJ1" i="52"/>
  <c r="BI4" i="52"/>
  <c r="BJ21" i="52" l="1"/>
  <c r="BI16" i="25"/>
  <c r="BJ18" i="19"/>
  <c r="BJ17" i="19" s="1"/>
  <c r="BJ24" i="52"/>
  <c r="BI25" i="48"/>
  <c r="BK27" i="52"/>
  <c r="BK26" i="52"/>
  <c r="BN21" i="52" l="1"/>
  <c r="BN19" i="52"/>
  <c r="BM19" i="52"/>
  <c r="BM20" i="52"/>
  <c r="BM21" i="52"/>
  <c r="BQ19" i="52"/>
  <c r="BO21" i="52"/>
  <c r="BN20" i="52"/>
  <c r="BO20" i="52"/>
  <c r="BO19" i="52"/>
  <c r="BP21" i="52"/>
  <c r="BR21" i="52"/>
  <c r="BP20" i="52"/>
  <c r="BP19" i="52"/>
  <c r="BQ21" i="52"/>
  <c r="BQ20" i="52"/>
  <c r="BR19" i="52"/>
  <c r="BR20" i="52"/>
  <c r="A107" i="46" l="1"/>
  <c r="A108" i="46"/>
  <c r="A99" i="46"/>
  <c r="A96" i="46"/>
  <c r="A73" i="46"/>
  <c r="A81" i="46"/>
  <c r="A82" i="46"/>
  <c r="A70" i="46"/>
  <c r="A56" i="46"/>
  <c r="A57" i="46"/>
  <c r="A48" i="46"/>
  <c r="A45" i="46"/>
  <c r="A30" i="46"/>
  <c r="A31" i="46"/>
  <c r="A22" i="46"/>
  <c r="A19" i="46"/>
  <c r="A105" i="46"/>
  <c r="A106" i="46"/>
  <c r="A79" i="46"/>
  <c r="A80" i="46"/>
  <c r="A54" i="46"/>
  <c r="A55" i="46"/>
  <c r="A28" i="46"/>
  <c r="A29" i="46"/>
  <c r="A12" i="11"/>
  <c r="A14" i="11"/>
  <c r="B10" i="10"/>
  <c r="B11" i="10"/>
  <c r="B12" i="10"/>
  <c r="B13" i="10"/>
  <c r="B14" i="10"/>
  <c r="B15" i="10"/>
  <c r="B16" i="10"/>
  <c r="B17" i="10"/>
  <c r="A9" i="10"/>
  <c r="A10" i="10"/>
  <c r="A11" i="10"/>
  <c r="A12" i="10"/>
  <c r="A13" i="10"/>
  <c r="A14" i="10"/>
  <c r="A15" i="10"/>
  <c r="A16" i="10"/>
  <c r="A17" i="10"/>
  <c r="C26" i="45"/>
  <c r="C27" i="45"/>
  <c r="C28" i="45"/>
  <c r="C29" i="45"/>
  <c r="C30" i="45"/>
  <c r="C31" i="45"/>
  <c r="C32" i="45"/>
  <c r="C33" i="45"/>
  <c r="C34" i="45"/>
  <c r="B27" i="45"/>
  <c r="B28" i="45"/>
  <c r="B29" i="45"/>
  <c r="B30" i="45"/>
  <c r="B31" i="45"/>
  <c r="B32" i="45"/>
  <c r="B33" i="45"/>
  <c r="B34" i="45"/>
  <c r="A30" i="45"/>
  <c r="C10" i="45"/>
  <c r="C11" i="45"/>
  <c r="C12" i="45"/>
  <c r="C13" i="45"/>
  <c r="C14" i="45"/>
  <c r="C15" i="45"/>
  <c r="C16" i="45"/>
  <c r="C17" i="45"/>
  <c r="B9" i="45"/>
  <c r="B10" i="45"/>
  <c r="B11" i="45"/>
  <c r="B12" i="45"/>
  <c r="B13" i="45"/>
  <c r="B14" i="45"/>
  <c r="B15" i="45"/>
  <c r="B16" i="45"/>
  <c r="B17" i="45"/>
  <c r="A11" i="45"/>
  <c r="A22" i="5"/>
  <c r="A34" i="5" s="1"/>
  <c r="A27" i="45" s="1"/>
  <c r="A23" i="5"/>
  <c r="A35" i="5" s="1"/>
  <c r="A28" i="45" s="1"/>
  <c r="A24" i="5"/>
  <c r="A36" i="5" s="1"/>
  <c r="A14" i="13" s="1"/>
  <c r="A25" i="5"/>
  <c r="A37" i="5" s="1"/>
  <c r="A15" i="13" s="1"/>
  <c r="A26" i="5"/>
  <c r="A38" i="5" s="1"/>
  <c r="A16" i="13" s="1"/>
  <c r="A27" i="5"/>
  <c r="A39" i="5" s="1"/>
  <c r="A17" i="13" s="1"/>
  <c r="A28" i="5"/>
  <c r="A40" i="5" s="1"/>
  <c r="A18" i="13" s="1"/>
  <c r="A29" i="5"/>
  <c r="A41" i="5" s="1"/>
  <c r="A19" i="13" s="1"/>
  <c r="A94" i="46"/>
  <c r="A95" i="46"/>
  <c r="A68" i="46"/>
  <c r="A69" i="46"/>
  <c r="A43" i="46"/>
  <c r="A44" i="46"/>
  <c r="A11" i="46"/>
  <c r="A12" i="46"/>
  <c r="A13" i="46"/>
  <c r="A14" i="46"/>
  <c r="A15" i="46"/>
  <c r="A16" i="46"/>
  <c r="A17" i="46"/>
  <c r="A18" i="46"/>
  <c r="D19" i="47"/>
  <c r="D20" i="47" s="1"/>
  <c r="D16" i="47"/>
  <c r="D9" i="47"/>
  <c r="D7" i="47" s="1"/>
  <c r="A104" i="46"/>
  <c r="A78" i="46"/>
  <c r="A53" i="46"/>
  <c r="A27" i="46"/>
  <c r="A13" i="45" l="1"/>
  <c r="A13" i="13"/>
  <c r="A18" i="11"/>
  <c r="A17" i="45"/>
  <c r="A34" i="45"/>
  <c r="A17" i="11"/>
  <c r="A16" i="45"/>
  <c r="A33" i="45"/>
  <c r="A32" i="45"/>
  <c r="A16" i="11"/>
  <c r="A15" i="45"/>
  <c r="A31" i="45"/>
  <c r="A15" i="11"/>
  <c r="A14" i="45"/>
  <c r="A29" i="45"/>
  <c r="A12" i="45"/>
  <c r="A13" i="11"/>
  <c r="A12" i="13"/>
  <c r="A10" i="45"/>
  <c r="A11" i="11"/>
  <c r="D4" i="47"/>
  <c r="D13" i="47" s="1"/>
  <c r="D17" i="47" s="1"/>
  <c r="D21" i="47" s="1"/>
  <c r="C71" i="5" l="1"/>
  <c r="D15" i="22"/>
  <c r="D16" i="22"/>
  <c r="D17" i="22"/>
  <c r="D18" i="22"/>
  <c r="D19" i="22"/>
  <c r="D20" i="22"/>
  <c r="D21" i="22"/>
  <c r="D22" i="22"/>
  <c r="D23" i="22"/>
  <c r="D24" i="22"/>
  <c r="D25" i="22"/>
  <c r="D26" i="22"/>
  <c r="D27" i="22"/>
  <c r="D28" i="22"/>
  <c r="D29" i="22"/>
  <c r="D30" i="22"/>
  <c r="D31" i="22"/>
  <c r="D38" i="22"/>
  <c r="A103" i="46"/>
  <c r="A98" i="46"/>
  <c r="A87" i="46"/>
  <c r="A88" i="46"/>
  <c r="A89" i="46"/>
  <c r="A90" i="46"/>
  <c r="A91" i="46"/>
  <c r="A92" i="46"/>
  <c r="A93" i="46"/>
  <c r="A77" i="46"/>
  <c r="A72" i="46"/>
  <c r="A62" i="46"/>
  <c r="A63" i="46"/>
  <c r="A64" i="46"/>
  <c r="A65" i="46"/>
  <c r="A66" i="46"/>
  <c r="A67" i="46"/>
  <c r="A37" i="46"/>
  <c r="A38" i="46"/>
  <c r="A39" i="46"/>
  <c r="A40" i="46"/>
  <c r="A41" i="46"/>
  <c r="A42" i="46"/>
  <c r="A26" i="46"/>
  <c r="C54" i="45"/>
  <c r="C55" i="45"/>
  <c r="B54" i="45"/>
  <c r="B55" i="45"/>
  <c r="A54" i="45"/>
  <c r="A48" i="13" s="1"/>
  <c r="A55" i="45"/>
  <c r="A49" i="13" s="1"/>
  <c r="A61" i="46" l="1"/>
  <c r="A52" i="46"/>
  <c r="A47" i="46"/>
  <c r="A36" i="46"/>
  <c r="A21" i="46"/>
  <c r="A10" i="46"/>
  <c r="B9" i="10"/>
  <c r="B8" i="10"/>
  <c r="A8" i="10"/>
  <c r="B26" i="45"/>
  <c r="C9" i="45"/>
  <c r="A21" i="5"/>
  <c r="A20" i="5"/>
  <c r="A20" i="13"/>
  <c r="A23" i="13"/>
  <c r="A24" i="13"/>
  <c r="A25" i="13"/>
  <c r="E24" i="29"/>
  <c r="F24" i="29"/>
  <c r="G24" i="29"/>
  <c r="H24" i="29"/>
  <c r="I24" i="29"/>
  <c r="J24" i="29"/>
  <c r="K24" i="29"/>
  <c r="L24" i="29"/>
  <c r="M24" i="29"/>
  <c r="N24" i="29"/>
  <c r="O24" i="29"/>
  <c r="P24" i="29"/>
  <c r="Q24" i="29"/>
  <c r="R24" i="29"/>
  <c r="S24" i="29"/>
  <c r="T24" i="29"/>
  <c r="U24" i="29"/>
  <c r="V24" i="29"/>
  <c r="W24" i="29"/>
  <c r="X24" i="29"/>
  <c r="Y24" i="29"/>
  <c r="Z24" i="29"/>
  <c r="AA24" i="29"/>
  <c r="AB24" i="29"/>
  <c r="AC24" i="29"/>
  <c r="AD24" i="29"/>
  <c r="AE24" i="29"/>
  <c r="AF24" i="29"/>
  <c r="AG24" i="29"/>
  <c r="AH24" i="29"/>
  <c r="AI24" i="29"/>
  <c r="AJ24" i="29"/>
  <c r="AK24" i="29"/>
  <c r="AL24" i="29"/>
  <c r="AM24" i="29"/>
  <c r="AN24" i="29"/>
  <c r="AO24" i="29"/>
  <c r="AP24" i="29"/>
  <c r="AQ24" i="29"/>
  <c r="AR24" i="29"/>
  <c r="AS24" i="29"/>
  <c r="AT24" i="29"/>
  <c r="AU24" i="29"/>
  <c r="AV24" i="29"/>
  <c r="AW24" i="29"/>
  <c r="AX24" i="29"/>
  <c r="AY24" i="29"/>
  <c r="AZ24" i="29"/>
  <c r="BA24" i="29"/>
  <c r="BB24" i="29"/>
  <c r="BC24" i="29"/>
  <c r="BD24" i="29"/>
  <c r="BE24" i="29"/>
  <c r="BF24" i="29"/>
  <c r="BG24" i="29"/>
  <c r="BH24" i="29"/>
  <c r="BI24" i="29"/>
  <c r="BJ24" i="29"/>
  <c r="BK24" i="29"/>
  <c r="D24" i="29"/>
  <c r="D11" i="22"/>
  <c r="D10" i="22"/>
  <c r="D9" i="22"/>
  <c r="A10" i="11" l="1"/>
  <c r="A9" i="45"/>
  <c r="A33" i="5"/>
  <c r="A32" i="5"/>
  <c r="A9" i="11"/>
  <c r="A11" i="13" l="1"/>
  <c r="A26" i="45"/>
  <c r="A97" i="46"/>
  <c r="B26" i="46"/>
  <c r="B27" i="46"/>
  <c r="B28" i="46"/>
  <c r="B29" i="46"/>
  <c r="B30" i="46"/>
  <c r="B31" i="46"/>
  <c r="F59" i="45" l="1"/>
  <c r="G59" i="45" l="1"/>
  <c r="H59" i="45" l="1"/>
  <c r="I59" i="45" l="1"/>
  <c r="J59" i="45" l="1"/>
  <c r="C48" i="45" l="1"/>
  <c r="C49" i="45"/>
  <c r="C50" i="45"/>
  <c r="C51" i="45"/>
  <c r="C52" i="45"/>
  <c r="C53" i="45"/>
  <c r="C47" i="45"/>
  <c r="C45" i="45"/>
  <c r="C44" i="45"/>
  <c r="C37" i="45"/>
  <c r="C38" i="45"/>
  <c r="C39" i="45"/>
  <c r="C40" i="45"/>
  <c r="C41" i="45"/>
  <c r="C42" i="45"/>
  <c r="C36" i="45"/>
  <c r="B48" i="45"/>
  <c r="B49" i="45"/>
  <c r="B50" i="45"/>
  <c r="B51" i="45"/>
  <c r="B52" i="45"/>
  <c r="B53" i="45"/>
  <c r="B47" i="45"/>
  <c r="B45" i="45"/>
  <c r="B44" i="45"/>
  <c r="B37" i="45"/>
  <c r="B38" i="45"/>
  <c r="B39" i="45"/>
  <c r="B40" i="45"/>
  <c r="B41" i="45"/>
  <c r="B42" i="45"/>
  <c r="B36" i="45"/>
  <c r="A53" i="45"/>
  <c r="A47" i="13" s="1"/>
  <c r="A52" i="45"/>
  <c r="A46" i="13" s="1"/>
  <c r="A47" i="45"/>
  <c r="A41" i="13" s="1"/>
  <c r="A48" i="45"/>
  <c r="A42" i="13" s="1"/>
  <c r="A49" i="45"/>
  <c r="A43" i="13" s="1"/>
  <c r="A50" i="45"/>
  <c r="A44" i="13" s="1"/>
  <c r="A51" i="45"/>
  <c r="A45" i="13" s="1"/>
  <c r="A46" i="45"/>
  <c r="A45" i="45"/>
  <c r="A34" i="13" s="1"/>
  <c r="A44" i="45"/>
  <c r="A33" i="13" s="1"/>
  <c r="A41" i="45"/>
  <c r="A42" i="45"/>
  <c r="A40" i="45"/>
  <c r="A38" i="45"/>
  <c r="A39" i="45"/>
  <c r="A43" i="45"/>
  <c r="A36" i="45"/>
  <c r="A37" i="45"/>
  <c r="A35" i="45"/>
  <c r="B25" i="45"/>
  <c r="A10" i="13" l="1"/>
  <c r="A25" i="45"/>
  <c r="D37" i="22"/>
  <c r="D39" i="22"/>
  <c r="D40" i="22"/>
  <c r="D41" i="22"/>
  <c r="D42" i="22"/>
  <c r="D43" i="22"/>
  <c r="D44" i="22"/>
  <c r="D45" i="22"/>
  <c r="D46" i="22"/>
  <c r="D47" i="22"/>
  <c r="C3" i="48" l="1"/>
  <c r="C3" i="49"/>
  <c r="D5" i="49" l="1"/>
  <c r="E5" i="49" s="1"/>
  <c r="F5" i="49" s="1"/>
  <c r="G5" i="49" s="1"/>
  <c r="H5" i="49" s="1"/>
  <c r="I5" i="49" s="1"/>
  <c r="J5" i="49" s="1"/>
  <c r="K5" i="49" s="1"/>
  <c r="L5" i="49" s="1"/>
  <c r="M5" i="49" s="1"/>
  <c r="N5" i="49" s="1"/>
  <c r="O5" i="49" s="1"/>
  <c r="P5" i="49" s="1"/>
  <c r="Q5" i="49" s="1"/>
  <c r="R5" i="49" s="1"/>
  <c r="S5" i="49" s="1"/>
  <c r="T5" i="49" s="1"/>
  <c r="U5" i="49" s="1"/>
  <c r="V5" i="49" s="1"/>
  <c r="W5" i="49" s="1"/>
  <c r="X5" i="49" s="1"/>
  <c r="Y5" i="49" s="1"/>
  <c r="Z5" i="49" s="1"/>
  <c r="AA5" i="49" s="1"/>
  <c r="AB5" i="49" s="1"/>
  <c r="AC5" i="49" s="1"/>
  <c r="AD5" i="49" s="1"/>
  <c r="AE5" i="49" s="1"/>
  <c r="AF5" i="49" s="1"/>
  <c r="AG5" i="49" s="1"/>
  <c r="AH5" i="49" s="1"/>
  <c r="AI5" i="49" s="1"/>
  <c r="AJ5" i="49" s="1"/>
  <c r="AK5" i="49" s="1"/>
  <c r="AL5" i="49" s="1"/>
  <c r="AM5" i="49" s="1"/>
  <c r="AN5" i="49" s="1"/>
  <c r="AO5" i="49" s="1"/>
  <c r="AP5" i="49" s="1"/>
  <c r="AQ5" i="49" s="1"/>
  <c r="AR5" i="49" s="1"/>
  <c r="AS5" i="49" s="1"/>
  <c r="AT5" i="49" s="1"/>
  <c r="AU5" i="49" s="1"/>
  <c r="AV5" i="49" s="1"/>
  <c r="AW5" i="49" s="1"/>
  <c r="AX5" i="49" s="1"/>
  <c r="AY5" i="49" s="1"/>
  <c r="AZ5" i="49" s="1"/>
  <c r="BA5" i="49" s="1"/>
  <c r="BB5" i="49" s="1"/>
  <c r="BC5" i="49" s="1"/>
  <c r="BD5" i="49" s="1"/>
  <c r="BE5" i="49" s="1"/>
  <c r="BF5" i="49" s="1"/>
  <c r="BG5" i="49" s="1"/>
  <c r="BH5" i="49" s="1"/>
  <c r="BI5" i="49" s="1"/>
  <c r="BJ5" i="49" s="1"/>
  <c r="D3" i="49"/>
  <c r="C2" i="49"/>
  <c r="C1" i="49"/>
  <c r="C14" i="48"/>
  <c r="D14" i="48" s="1"/>
  <c r="E14" i="48" s="1"/>
  <c r="F14" i="48" s="1"/>
  <c r="G14" i="48" s="1"/>
  <c r="H14" i="48" s="1"/>
  <c r="I14" i="48" s="1"/>
  <c r="J14" i="48" s="1"/>
  <c r="K14" i="48" s="1"/>
  <c r="L14" i="48" s="1"/>
  <c r="M14" i="48" s="1"/>
  <c r="N14" i="48" s="1"/>
  <c r="O14" i="48" s="1"/>
  <c r="P14" i="48" s="1"/>
  <c r="Q14" i="48" s="1"/>
  <c r="R14" i="48" s="1"/>
  <c r="S14" i="48" s="1"/>
  <c r="T14" i="48" s="1"/>
  <c r="U14" i="48" s="1"/>
  <c r="V14" i="48" s="1"/>
  <c r="W14" i="48" s="1"/>
  <c r="X14" i="48" s="1"/>
  <c r="Y14" i="48" s="1"/>
  <c r="Z14" i="48" s="1"/>
  <c r="AA14" i="48" s="1"/>
  <c r="AB14" i="48" s="1"/>
  <c r="AC14" i="48" s="1"/>
  <c r="AD14" i="48" s="1"/>
  <c r="AE14" i="48" s="1"/>
  <c r="AF14" i="48" s="1"/>
  <c r="AG14" i="48" s="1"/>
  <c r="AH14" i="48" s="1"/>
  <c r="AI14" i="48" s="1"/>
  <c r="AJ14" i="48" s="1"/>
  <c r="AK14" i="48" s="1"/>
  <c r="AL14" i="48" s="1"/>
  <c r="AM14" i="48" s="1"/>
  <c r="AN14" i="48" s="1"/>
  <c r="AO14" i="48" s="1"/>
  <c r="AP14" i="48" s="1"/>
  <c r="AQ14" i="48" s="1"/>
  <c r="AR14" i="48" s="1"/>
  <c r="AS14" i="48" s="1"/>
  <c r="AT14" i="48" s="1"/>
  <c r="AU14" i="48" s="1"/>
  <c r="AV14" i="48" s="1"/>
  <c r="AW14" i="48" s="1"/>
  <c r="AX14" i="48" s="1"/>
  <c r="AY14" i="48" s="1"/>
  <c r="AZ14" i="48" s="1"/>
  <c r="BA14" i="48" s="1"/>
  <c r="BB14" i="48" s="1"/>
  <c r="BC14" i="48" s="1"/>
  <c r="BD14" i="48" s="1"/>
  <c r="BE14" i="48" s="1"/>
  <c r="BF14" i="48" s="1"/>
  <c r="BG14" i="48" s="1"/>
  <c r="BH14" i="48" s="1"/>
  <c r="BI14" i="48" s="1"/>
  <c r="BJ14" i="48" s="1"/>
  <c r="C11" i="48"/>
  <c r="D11" i="48" s="1"/>
  <c r="D5" i="48"/>
  <c r="E5" i="48" s="1"/>
  <c r="F5" i="48" s="1"/>
  <c r="G5" i="48" s="1"/>
  <c r="H5" i="48" s="1"/>
  <c r="I5" i="48" s="1"/>
  <c r="J5" i="48" s="1"/>
  <c r="K5" i="48" s="1"/>
  <c r="L5" i="48" s="1"/>
  <c r="M5" i="48" s="1"/>
  <c r="N5" i="48" s="1"/>
  <c r="O5" i="48" s="1"/>
  <c r="P5" i="48" s="1"/>
  <c r="Q5" i="48" s="1"/>
  <c r="R5" i="48" s="1"/>
  <c r="S5" i="48" s="1"/>
  <c r="T5" i="48" s="1"/>
  <c r="U5" i="48" s="1"/>
  <c r="V5" i="48" s="1"/>
  <c r="W5" i="48" s="1"/>
  <c r="X5" i="48" s="1"/>
  <c r="Y5" i="48" s="1"/>
  <c r="Z5" i="48" s="1"/>
  <c r="AA5" i="48" s="1"/>
  <c r="AB5" i="48" s="1"/>
  <c r="AC5" i="48" s="1"/>
  <c r="AD5" i="48" s="1"/>
  <c r="AE5" i="48" s="1"/>
  <c r="AF5" i="48" s="1"/>
  <c r="AG5" i="48" s="1"/>
  <c r="AH5" i="48" s="1"/>
  <c r="AI5" i="48" s="1"/>
  <c r="AJ5" i="48" s="1"/>
  <c r="AK5" i="48" s="1"/>
  <c r="AL5" i="48" s="1"/>
  <c r="AM5" i="48" s="1"/>
  <c r="AN5" i="48" s="1"/>
  <c r="AO5" i="48" s="1"/>
  <c r="AP5" i="48" s="1"/>
  <c r="AQ5" i="48" s="1"/>
  <c r="AR5" i="48" s="1"/>
  <c r="AS5" i="48" s="1"/>
  <c r="AT5" i="48" s="1"/>
  <c r="AU5" i="48" s="1"/>
  <c r="AV5" i="48" s="1"/>
  <c r="AW5" i="48" s="1"/>
  <c r="AX5" i="48" s="1"/>
  <c r="AY5" i="48" s="1"/>
  <c r="AZ5" i="48" s="1"/>
  <c r="BA5" i="48" s="1"/>
  <c r="BB5" i="48" s="1"/>
  <c r="BC5" i="48" s="1"/>
  <c r="BD5" i="48" s="1"/>
  <c r="BE5" i="48" s="1"/>
  <c r="BF5" i="48" s="1"/>
  <c r="BG5" i="48" s="1"/>
  <c r="BH5" i="48" s="1"/>
  <c r="BI5" i="48" s="1"/>
  <c r="BJ5" i="48" s="1"/>
  <c r="D3" i="48"/>
  <c r="C1" i="48"/>
  <c r="E3" i="49" l="1"/>
  <c r="D2" i="49"/>
  <c r="D1" i="49"/>
  <c r="C4" i="49"/>
  <c r="BL2" i="49"/>
  <c r="C4" i="48"/>
  <c r="E3" i="48"/>
  <c r="D2" i="48"/>
  <c r="D1" i="48"/>
  <c r="C2" i="48"/>
  <c r="BL2" i="48"/>
  <c r="E11" i="48"/>
  <c r="BM2" i="49" l="1"/>
  <c r="D4" i="49"/>
  <c r="F3" i="49"/>
  <c r="E2" i="49"/>
  <c r="E1" i="49"/>
  <c r="D4" i="48"/>
  <c r="F3" i="48"/>
  <c r="E2" i="48"/>
  <c r="E1" i="48"/>
  <c r="BM2" i="48"/>
  <c r="BL3" i="48"/>
  <c r="F11" i="48"/>
  <c r="G3" i="49" l="1"/>
  <c r="F2" i="49"/>
  <c r="F1" i="49"/>
  <c r="E4" i="49"/>
  <c r="BN2" i="49"/>
  <c r="E4" i="48"/>
  <c r="G3" i="48"/>
  <c r="F2" i="48"/>
  <c r="F1" i="48"/>
  <c r="G11" i="48"/>
  <c r="BM3" i="48"/>
  <c r="BN2" i="48"/>
  <c r="F4" i="49" l="1"/>
  <c r="H3" i="49"/>
  <c r="G2" i="49"/>
  <c r="G1" i="49"/>
  <c r="BO2" i="49"/>
  <c r="BO2" i="48"/>
  <c r="BN3" i="48"/>
  <c r="F4" i="48"/>
  <c r="H3" i="48"/>
  <c r="G2" i="48"/>
  <c r="G1" i="48"/>
  <c r="H11" i="48"/>
  <c r="BP2" i="49" l="1"/>
  <c r="I3" i="49"/>
  <c r="H2" i="49"/>
  <c r="H1" i="49"/>
  <c r="G4" i="49"/>
  <c r="I11" i="48"/>
  <c r="G4" i="48"/>
  <c r="I3" i="48"/>
  <c r="H2" i="48"/>
  <c r="H1" i="48"/>
  <c r="BO3" i="48"/>
  <c r="BP2" i="48"/>
  <c r="H4" i="49" l="1"/>
  <c r="J3" i="49"/>
  <c r="I2" i="49"/>
  <c r="I1" i="49"/>
  <c r="BQ2" i="49"/>
  <c r="J11" i="48"/>
  <c r="BP3" i="48"/>
  <c r="H4" i="48"/>
  <c r="J3" i="48"/>
  <c r="I2" i="48"/>
  <c r="I1" i="48"/>
  <c r="K3" i="49" l="1"/>
  <c r="J2" i="49"/>
  <c r="J1" i="49"/>
  <c r="I4" i="49"/>
  <c r="I4" i="48"/>
  <c r="K3" i="48"/>
  <c r="J2" i="48"/>
  <c r="J1" i="48"/>
  <c r="K11" i="48"/>
  <c r="J4" i="49" l="1"/>
  <c r="L3" i="49"/>
  <c r="K2" i="49"/>
  <c r="K1" i="49"/>
  <c r="J4" i="48"/>
  <c r="L3" i="48"/>
  <c r="K2" i="48"/>
  <c r="K1" i="48"/>
  <c r="L11" i="48"/>
  <c r="M3" i="49" l="1"/>
  <c r="L2" i="49"/>
  <c r="L1" i="49"/>
  <c r="K4" i="49"/>
  <c r="M11" i="48"/>
  <c r="K4" i="48"/>
  <c r="M3" i="48"/>
  <c r="L2" i="48"/>
  <c r="L1" i="48"/>
  <c r="L4" i="49" l="1"/>
  <c r="N3" i="49"/>
  <c r="M2" i="49"/>
  <c r="M1" i="49"/>
  <c r="L4" i="48"/>
  <c r="N3" i="48"/>
  <c r="M2" i="48"/>
  <c r="M1" i="48"/>
  <c r="N11" i="48"/>
  <c r="O3" i="49" l="1"/>
  <c r="N2" i="49"/>
  <c r="N1" i="49"/>
  <c r="M4" i="49"/>
  <c r="O11" i="48"/>
  <c r="M4" i="48"/>
  <c r="O3" i="48"/>
  <c r="N2" i="48"/>
  <c r="N1" i="48"/>
  <c r="N4" i="49" l="1"/>
  <c r="P3" i="49"/>
  <c r="O2" i="49"/>
  <c r="O1" i="49"/>
  <c r="N4" i="48"/>
  <c r="P3" i="48"/>
  <c r="O2" i="48"/>
  <c r="O1" i="48"/>
  <c r="P11" i="48"/>
  <c r="Q3" i="49" l="1"/>
  <c r="P2" i="49"/>
  <c r="P1" i="49"/>
  <c r="O4" i="49"/>
  <c r="O4" i="48"/>
  <c r="Q3" i="48"/>
  <c r="P2" i="48"/>
  <c r="P1" i="48"/>
  <c r="Q11" i="48"/>
  <c r="P4" i="49" l="1"/>
  <c r="R3" i="49"/>
  <c r="Q2" i="49"/>
  <c r="Q1" i="49"/>
  <c r="P4" i="48"/>
  <c r="R3" i="48"/>
  <c r="Q2" i="48"/>
  <c r="Q1" i="48"/>
  <c r="R11" i="48"/>
  <c r="S3" i="49" l="1"/>
  <c r="R2" i="49"/>
  <c r="R1" i="49"/>
  <c r="Q4" i="49"/>
  <c r="S11" i="48"/>
  <c r="Q4" i="48"/>
  <c r="S3" i="48"/>
  <c r="R2" i="48"/>
  <c r="R1" i="48"/>
  <c r="R4" i="49" l="1"/>
  <c r="T3" i="49"/>
  <c r="S2" i="49"/>
  <c r="S1" i="49"/>
  <c r="R4" i="48"/>
  <c r="T3" i="48"/>
  <c r="S2" i="48"/>
  <c r="S1" i="48"/>
  <c r="T11" i="48"/>
  <c r="U3" i="49" l="1"/>
  <c r="T2" i="49"/>
  <c r="T1" i="49"/>
  <c r="S4" i="49"/>
  <c r="U11" i="48"/>
  <c r="S4" i="48"/>
  <c r="U3" i="48"/>
  <c r="T2" i="48"/>
  <c r="T1" i="48"/>
  <c r="T4" i="49" l="1"/>
  <c r="V3" i="49"/>
  <c r="U2" i="49"/>
  <c r="U1" i="49"/>
  <c r="T4" i="48"/>
  <c r="V3" i="48"/>
  <c r="U2" i="48"/>
  <c r="U1" i="48"/>
  <c r="V11" i="48"/>
  <c r="W3" i="49" l="1"/>
  <c r="V2" i="49"/>
  <c r="V1" i="49"/>
  <c r="U4" i="49"/>
  <c r="W11" i="48"/>
  <c r="U4" i="48"/>
  <c r="W3" i="48"/>
  <c r="V2" i="48"/>
  <c r="V1" i="48"/>
  <c r="V4" i="49" l="1"/>
  <c r="X3" i="49"/>
  <c r="W2" i="49"/>
  <c r="W1" i="49"/>
  <c r="V4" i="48"/>
  <c r="X3" i="48"/>
  <c r="W2" i="48"/>
  <c r="W1" i="48"/>
  <c r="X11" i="48"/>
  <c r="Y3" i="49" l="1"/>
  <c r="X2" i="49"/>
  <c r="X1" i="49"/>
  <c r="W4" i="49"/>
  <c r="Y11" i="48"/>
  <c r="W4" i="48"/>
  <c r="Y3" i="48"/>
  <c r="X2" i="48"/>
  <c r="X1" i="48"/>
  <c r="X4" i="49" l="1"/>
  <c r="Z3" i="49"/>
  <c r="Y2" i="49"/>
  <c r="Y1" i="49"/>
  <c r="Z11" i="48"/>
  <c r="X4" i="48"/>
  <c r="Z3" i="48"/>
  <c r="Y2" i="48"/>
  <c r="Y1" i="48"/>
  <c r="AA3" i="49" l="1"/>
  <c r="Z2" i="49"/>
  <c r="Z1" i="49"/>
  <c r="Y4" i="49"/>
  <c r="Y4" i="48"/>
  <c r="AA3" i="48"/>
  <c r="Z2" i="48"/>
  <c r="Z1" i="48"/>
  <c r="AA11" i="48"/>
  <c r="Z4" i="49" l="1"/>
  <c r="AB3" i="49"/>
  <c r="AA2" i="49"/>
  <c r="AA1" i="49"/>
  <c r="AB11" i="48"/>
  <c r="Z4" i="48"/>
  <c r="AB3" i="48"/>
  <c r="AA2" i="48"/>
  <c r="AA1" i="48"/>
  <c r="AC3" i="49" l="1"/>
  <c r="AB2" i="49"/>
  <c r="AB1" i="49"/>
  <c r="AA4" i="49"/>
  <c r="AA4" i="48"/>
  <c r="AC3" i="48"/>
  <c r="AB2" i="48"/>
  <c r="AB1" i="48"/>
  <c r="AC11" i="48"/>
  <c r="AB4" i="49" l="1"/>
  <c r="AD3" i="49"/>
  <c r="AC2" i="49"/>
  <c r="AC1" i="49"/>
  <c r="AB4" i="48"/>
  <c r="AD3" i="48"/>
  <c r="AC2" i="48"/>
  <c r="AC1" i="48"/>
  <c r="AD11" i="48"/>
  <c r="AE3" i="49" l="1"/>
  <c r="AD2" i="49"/>
  <c r="AD1" i="49"/>
  <c r="AC4" i="49"/>
  <c r="AC4" i="48"/>
  <c r="AE3" i="48"/>
  <c r="AD2" i="48"/>
  <c r="AD1" i="48"/>
  <c r="AE11" i="48"/>
  <c r="AD4" i="49" l="1"/>
  <c r="AF3" i="49"/>
  <c r="AE2" i="49"/>
  <c r="AE1" i="49"/>
  <c r="AD4" i="48"/>
  <c r="AF3" i="48"/>
  <c r="AE2" i="48"/>
  <c r="AE1" i="48"/>
  <c r="AF11" i="48"/>
  <c r="AG3" i="49" l="1"/>
  <c r="AF2" i="49"/>
  <c r="AF1" i="49"/>
  <c r="AE4" i="49"/>
  <c r="AE4" i="48"/>
  <c r="AG3" i="48"/>
  <c r="AF2" i="48"/>
  <c r="AF1" i="48"/>
  <c r="AG11" i="48"/>
  <c r="AF4" i="49" l="1"/>
  <c r="AH3" i="49"/>
  <c r="AG2" i="49"/>
  <c r="AG1" i="49"/>
  <c r="AF4" i="48"/>
  <c r="AH3" i="48"/>
  <c r="AG2" i="48"/>
  <c r="AG1" i="48"/>
  <c r="AH11" i="48"/>
  <c r="AI3" i="49" l="1"/>
  <c r="AH2" i="49"/>
  <c r="AH1" i="49"/>
  <c r="AG4" i="49"/>
  <c r="AG4" i="48"/>
  <c r="AI3" i="48"/>
  <c r="AH2" i="48"/>
  <c r="AH1" i="48"/>
  <c r="AI11" i="48"/>
  <c r="AH4" i="49" l="1"/>
  <c r="AJ3" i="49"/>
  <c r="AI2" i="49"/>
  <c r="AI1" i="49"/>
  <c r="AH4" i="48"/>
  <c r="AJ3" i="48"/>
  <c r="AI2" i="48"/>
  <c r="AI1" i="48"/>
  <c r="AJ11" i="48"/>
  <c r="AK3" i="49" l="1"/>
  <c r="AJ2" i="49"/>
  <c r="AJ1" i="49"/>
  <c r="AI4" i="49"/>
  <c r="AI4" i="48"/>
  <c r="AK3" i="48"/>
  <c r="AJ2" i="48"/>
  <c r="AJ1" i="48"/>
  <c r="AK11" i="48"/>
  <c r="AJ4" i="49" l="1"/>
  <c r="AL3" i="49"/>
  <c r="AK2" i="49"/>
  <c r="AK1" i="49"/>
  <c r="AL11" i="48"/>
  <c r="AJ4" i="48"/>
  <c r="AL3" i="48"/>
  <c r="AK2" i="48"/>
  <c r="AK1" i="48"/>
  <c r="AM3" i="49" l="1"/>
  <c r="AL2" i="49"/>
  <c r="AL1" i="49"/>
  <c r="AK4" i="49"/>
  <c r="AM11" i="48"/>
  <c r="AK4" i="48"/>
  <c r="AM3" i="48"/>
  <c r="AL2" i="48"/>
  <c r="AL1" i="48"/>
  <c r="AL4" i="49" l="1"/>
  <c r="AN3" i="49"/>
  <c r="AM2" i="49"/>
  <c r="AM1" i="49"/>
  <c r="AL4" i="48"/>
  <c r="AN3" i="48"/>
  <c r="AM2" i="48"/>
  <c r="AM1" i="48"/>
  <c r="AN11" i="48"/>
  <c r="AO3" i="49" l="1"/>
  <c r="AN2" i="49"/>
  <c r="AN1" i="49"/>
  <c r="AM4" i="49"/>
  <c r="AM4" i="48"/>
  <c r="AO3" i="48"/>
  <c r="AN2" i="48"/>
  <c r="AN1" i="48"/>
  <c r="AO11" i="48"/>
  <c r="AN4" i="49" l="1"/>
  <c r="AP3" i="49"/>
  <c r="AO2" i="49"/>
  <c r="AO1" i="49"/>
  <c r="AN4" i="48"/>
  <c r="AP3" i="48"/>
  <c r="AO2" i="48"/>
  <c r="AO1" i="48"/>
  <c r="AP11" i="48"/>
  <c r="AQ3" i="49" l="1"/>
  <c r="AP2" i="49"/>
  <c r="AP1" i="49"/>
  <c r="AO4" i="49"/>
  <c r="AQ11" i="48"/>
  <c r="AO4" i="48"/>
  <c r="AQ3" i="48"/>
  <c r="AP2" i="48"/>
  <c r="AP1" i="48"/>
  <c r="AP4" i="49" l="1"/>
  <c r="AR3" i="49"/>
  <c r="AQ2" i="49"/>
  <c r="AQ1" i="49"/>
  <c r="AP4" i="48"/>
  <c r="AR3" i="48"/>
  <c r="AQ2" i="48"/>
  <c r="AQ1" i="48"/>
  <c r="AR11" i="48"/>
  <c r="AS3" i="49" l="1"/>
  <c r="AR2" i="49"/>
  <c r="AR1" i="49"/>
  <c r="AQ4" i="49"/>
  <c r="AS11" i="48"/>
  <c r="AQ4" i="48"/>
  <c r="AS3" i="48"/>
  <c r="AR2" i="48"/>
  <c r="AR1" i="48"/>
  <c r="AR4" i="49" l="1"/>
  <c r="AT3" i="49"/>
  <c r="AS2" i="49"/>
  <c r="AS1" i="49"/>
  <c r="AR4" i="48"/>
  <c r="AT3" i="48"/>
  <c r="AS2" i="48"/>
  <c r="AS1" i="48"/>
  <c r="AT11" i="48"/>
  <c r="AU3" i="49" l="1"/>
  <c r="AT2" i="49"/>
  <c r="AT1" i="49"/>
  <c r="AS4" i="49"/>
  <c r="AS4" i="48"/>
  <c r="AU3" i="48"/>
  <c r="AT2" i="48"/>
  <c r="AT1" i="48"/>
  <c r="AU11" i="48"/>
  <c r="AT4" i="49" l="1"/>
  <c r="AV3" i="49"/>
  <c r="AU2" i="49"/>
  <c r="AU1" i="49"/>
  <c r="AT4" i="48"/>
  <c r="AV3" i="48"/>
  <c r="AU2" i="48"/>
  <c r="AU1" i="48"/>
  <c r="AV11" i="48"/>
  <c r="AW3" i="49" l="1"/>
  <c r="AV2" i="49"/>
  <c r="AV1" i="49"/>
  <c r="AU4" i="49"/>
  <c r="AW11" i="48"/>
  <c r="AU4" i="48"/>
  <c r="AW3" i="48"/>
  <c r="AV2" i="48"/>
  <c r="AV1" i="48"/>
  <c r="AV4" i="49" l="1"/>
  <c r="AX3" i="49"/>
  <c r="AW2" i="49"/>
  <c r="AW1" i="49"/>
  <c r="AX11" i="48"/>
  <c r="AV4" i="48"/>
  <c r="AX3" i="48"/>
  <c r="AW2" i="48"/>
  <c r="AW1" i="48"/>
  <c r="AY3" i="49" l="1"/>
  <c r="AX2" i="49"/>
  <c r="AX1" i="49"/>
  <c r="AW4" i="49"/>
  <c r="AW4" i="48"/>
  <c r="AY3" i="48"/>
  <c r="AX2" i="48"/>
  <c r="AX1" i="48"/>
  <c r="AY11" i="48"/>
  <c r="AX4" i="49" l="1"/>
  <c r="AZ3" i="49"/>
  <c r="AY2" i="49"/>
  <c r="AY1" i="49"/>
  <c r="AX4" i="48"/>
  <c r="AZ3" i="48"/>
  <c r="AY2" i="48"/>
  <c r="AY1" i="48"/>
  <c r="AZ11" i="48"/>
  <c r="BA3" i="49" l="1"/>
  <c r="AZ2" i="49"/>
  <c r="AZ1" i="49"/>
  <c r="AY4" i="49"/>
  <c r="AY4" i="48"/>
  <c r="BA3" i="48"/>
  <c r="AZ2" i="48"/>
  <c r="AZ1" i="48"/>
  <c r="BA11" i="48"/>
  <c r="AZ4" i="49" l="1"/>
  <c r="BB3" i="49"/>
  <c r="BA2" i="49"/>
  <c r="BA1" i="49"/>
  <c r="BB11" i="48"/>
  <c r="AZ4" i="48"/>
  <c r="BB3" i="48"/>
  <c r="BA2" i="48"/>
  <c r="BA1" i="48"/>
  <c r="BC3" i="49" l="1"/>
  <c r="BB2" i="49"/>
  <c r="BB1" i="49"/>
  <c r="BA4" i="49"/>
  <c r="BA4" i="48"/>
  <c r="BC3" i="48"/>
  <c r="BB2" i="48"/>
  <c r="BB1" i="48"/>
  <c r="BC11" i="48"/>
  <c r="BB4" i="49" l="1"/>
  <c r="BD3" i="49"/>
  <c r="BC2" i="49"/>
  <c r="BC1" i="49"/>
  <c r="BD11" i="48"/>
  <c r="BB4" i="48"/>
  <c r="BD3" i="48"/>
  <c r="BC2" i="48"/>
  <c r="BC1" i="48"/>
  <c r="BE3" i="49" l="1"/>
  <c r="BD2" i="49"/>
  <c r="BD1" i="49"/>
  <c r="BC4" i="49"/>
  <c r="BE11" i="48"/>
  <c r="BC4" i="48"/>
  <c r="BE3" i="48"/>
  <c r="BD2" i="48"/>
  <c r="BD1" i="48"/>
  <c r="BD4" i="49" l="1"/>
  <c r="BF3" i="49"/>
  <c r="BE2" i="49"/>
  <c r="BE1" i="49"/>
  <c r="BD4" i="48"/>
  <c r="BF3" i="48"/>
  <c r="BE2" i="48"/>
  <c r="BE1" i="48"/>
  <c r="BF11" i="48"/>
  <c r="BG3" i="49" l="1"/>
  <c r="BF2" i="49"/>
  <c r="BF1" i="49"/>
  <c r="BE4" i="49"/>
  <c r="BG11" i="48"/>
  <c r="BE4" i="48"/>
  <c r="BG3" i="48"/>
  <c r="BF2" i="48"/>
  <c r="BF1" i="48"/>
  <c r="BF4" i="49" l="1"/>
  <c r="BH3" i="49"/>
  <c r="BG2" i="49"/>
  <c r="BG1" i="49"/>
  <c r="BF4" i="48"/>
  <c r="BH3" i="48"/>
  <c r="BG2" i="48"/>
  <c r="BG1" i="48"/>
  <c r="BH11" i="48"/>
  <c r="BI3" i="49" l="1"/>
  <c r="BH2" i="49"/>
  <c r="BH1" i="49"/>
  <c r="BG4" i="49"/>
  <c r="BI11" i="48"/>
  <c r="BG4" i="48"/>
  <c r="BI3" i="48"/>
  <c r="BH2" i="48"/>
  <c r="BH1" i="48"/>
  <c r="BH4" i="49" l="1"/>
  <c r="BJ3" i="49"/>
  <c r="BK3" i="49" s="1"/>
  <c r="BJ4" i="49" s="1"/>
  <c r="BI2" i="49"/>
  <c r="BI1" i="49"/>
  <c r="BH4" i="48"/>
  <c r="BJ3" i="48"/>
  <c r="BK3" i="48" s="1"/>
  <c r="BJ4" i="48" s="1"/>
  <c r="BI2" i="48"/>
  <c r="BI1" i="48"/>
  <c r="BJ11" i="48"/>
  <c r="BJ2" i="49" l="1"/>
  <c r="BJ1" i="49"/>
  <c r="BI4" i="49"/>
  <c r="BI4" i="48"/>
  <c r="BJ2" i="48"/>
  <c r="BJ1" i="48"/>
  <c r="BL14" i="48" l="1"/>
  <c r="BL11" i="48"/>
  <c r="BM11" i="48"/>
  <c r="BN14" i="48"/>
  <c r="BM14" i="48"/>
  <c r="BN11" i="48"/>
  <c r="BO14" i="48"/>
  <c r="BO11" i="48"/>
  <c r="BP14" i="48"/>
  <c r="BP11" i="48"/>
  <c r="BL12" i="49" l="1"/>
  <c r="BM12" i="49"/>
  <c r="BN12" i="49"/>
  <c r="BO12" i="49"/>
  <c r="BP12" i="49"/>
  <c r="BQ12" i="49"/>
  <c r="A71" i="46" l="1"/>
  <c r="D36" i="22" l="1"/>
  <c r="C25" i="45" l="1"/>
  <c r="D35" i="22"/>
  <c r="D4" i="22"/>
  <c r="D5" i="22"/>
  <c r="D6" i="22"/>
  <c r="D7" i="22"/>
  <c r="D3" i="22" l="1"/>
  <c r="A102" i="46"/>
  <c r="D8" i="22" l="1"/>
  <c r="D12" i="22" s="1"/>
  <c r="C8" i="45" l="1"/>
  <c r="C3" i="10"/>
  <c r="BL2" i="10"/>
  <c r="C3" i="13"/>
  <c r="D4" i="5"/>
  <c r="E4" i="5" s="1"/>
  <c r="BL2" i="13"/>
  <c r="L3" i="45"/>
  <c r="M3" i="45" s="1"/>
  <c r="N3" i="45" s="1"/>
  <c r="O3" i="45" s="1"/>
  <c r="P3" i="45" s="1"/>
  <c r="Q3" i="45" s="1"/>
  <c r="R3" i="45" s="1"/>
  <c r="S3" i="45" s="1"/>
  <c r="T3" i="45" s="1"/>
  <c r="U3" i="45" s="1"/>
  <c r="V3" i="45" s="1"/>
  <c r="W3" i="45" s="1"/>
  <c r="X3" i="45" s="1"/>
  <c r="W4" i="45" s="1"/>
  <c r="F21" i="45"/>
  <c r="G21" i="45" s="1"/>
  <c r="H21" i="45" s="1"/>
  <c r="I21" i="45" s="1"/>
  <c r="J21" i="45" s="1"/>
  <c r="C3" i="46"/>
  <c r="BL2" i="46"/>
  <c r="B25" i="46"/>
  <c r="B3" i="11"/>
  <c r="C3" i="11" s="1"/>
  <c r="C3" i="33"/>
  <c r="C2" i="33" s="1"/>
  <c r="A8" i="33"/>
  <c r="A19" i="33" s="1"/>
  <c r="A9" i="33"/>
  <c r="A26" i="33" s="1"/>
  <c r="A10" i="33"/>
  <c r="A27" i="33" s="1"/>
  <c r="B14" i="24"/>
  <c r="D14" i="22"/>
  <c r="D34" i="22"/>
  <c r="A20" i="46"/>
  <c r="A24" i="46"/>
  <c r="A25" i="46"/>
  <c r="BM113" i="46"/>
  <c r="BN113" i="46" s="1"/>
  <c r="BO113" i="46" s="1"/>
  <c r="BP113" i="46" s="1"/>
  <c r="BQ113" i="46" s="1"/>
  <c r="BK2" i="11"/>
  <c r="B8" i="45"/>
  <c r="A8" i="45"/>
  <c r="BL2" i="33"/>
  <c r="BM2" i="33" s="1"/>
  <c r="BN2" i="33" s="1"/>
  <c r="BO2" i="33" s="1"/>
  <c r="BP2" i="33" s="1"/>
  <c r="BQ2" i="33" s="1"/>
  <c r="BJ9" i="24"/>
  <c r="BJ10" i="24"/>
  <c r="BJ11" i="24"/>
  <c r="A9" i="24"/>
  <c r="A14" i="24" s="1"/>
  <c r="A10" i="24"/>
  <c r="A15" i="24" s="1"/>
  <c r="A11" i="24"/>
  <c r="A16" i="24" s="1"/>
  <c r="D3" i="29"/>
  <c r="C8" i="29"/>
  <c r="C13" i="29"/>
  <c r="C12" i="29"/>
  <c r="C2" i="20"/>
  <c r="D2" i="20" s="1"/>
  <c r="E2" i="20" s="1"/>
  <c r="F2" i="20" s="1"/>
  <c r="G2" i="20" s="1"/>
  <c r="H2" i="20" s="1"/>
  <c r="J3" i="20"/>
  <c r="J2" i="20" s="1"/>
  <c r="BL2" i="19"/>
  <c r="C3" i="19"/>
  <c r="C2" i="19" s="1"/>
  <c r="BK2" i="25"/>
  <c r="B3" i="25"/>
  <c r="B2" i="25" s="1"/>
  <c r="BM2" i="29"/>
  <c r="K5" i="20"/>
  <c r="L5" i="20" s="1"/>
  <c r="M5" i="20" s="1"/>
  <c r="N5" i="20" s="1"/>
  <c r="O5" i="20" s="1"/>
  <c r="P5" i="20" s="1"/>
  <c r="Q5" i="20" s="1"/>
  <c r="R5" i="20" s="1"/>
  <c r="S5" i="20" s="1"/>
  <c r="T5" i="20" s="1"/>
  <c r="U5" i="20" s="1"/>
  <c r="V5" i="20" s="1"/>
  <c r="W5" i="20" s="1"/>
  <c r="X5" i="20" s="1"/>
  <c r="Y5" i="20" s="1"/>
  <c r="Z5" i="20" s="1"/>
  <c r="AA5" i="20" s="1"/>
  <c r="AB5" i="20" s="1"/>
  <c r="AC5" i="20" s="1"/>
  <c r="AD5" i="20" s="1"/>
  <c r="AE5" i="20" s="1"/>
  <c r="AF5" i="20" s="1"/>
  <c r="AG5" i="20" s="1"/>
  <c r="AH5" i="20" s="1"/>
  <c r="AI5" i="20" s="1"/>
  <c r="AJ5" i="20" s="1"/>
  <c r="AK5" i="20" s="1"/>
  <c r="AL5" i="20" s="1"/>
  <c r="AM5" i="20" s="1"/>
  <c r="AN5" i="20" s="1"/>
  <c r="AO5" i="20" s="1"/>
  <c r="AP5" i="20" s="1"/>
  <c r="AQ5" i="20" s="1"/>
  <c r="AR5" i="20" s="1"/>
  <c r="AS5" i="20" s="1"/>
  <c r="AT5" i="20" s="1"/>
  <c r="AU5" i="20" s="1"/>
  <c r="AV5" i="20" s="1"/>
  <c r="AW5" i="20" s="1"/>
  <c r="AX5" i="20" s="1"/>
  <c r="AY5" i="20" s="1"/>
  <c r="AZ5" i="20" s="1"/>
  <c r="BA5" i="20" s="1"/>
  <c r="BB5" i="20" s="1"/>
  <c r="BC5" i="20" s="1"/>
  <c r="BD5" i="20" s="1"/>
  <c r="BE5" i="20" s="1"/>
  <c r="BF5" i="20" s="1"/>
  <c r="BG5" i="20" s="1"/>
  <c r="BH5" i="20" s="1"/>
  <c r="BI5" i="20" s="1"/>
  <c r="BJ5" i="20" s="1"/>
  <c r="BK5" i="20" s="1"/>
  <c r="BL5" i="20" s="1"/>
  <c r="BM5" i="20" s="1"/>
  <c r="BN5" i="20" s="1"/>
  <c r="BO5" i="20" s="1"/>
  <c r="BP5" i="20" s="1"/>
  <c r="BQ5" i="20" s="1"/>
  <c r="E31" i="47"/>
  <c r="E32" i="47" s="1"/>
  <c r="A101" i="46"/>
  <c r="A86" i="46"/>
  <c r="A76" i="46"/>
  <c r="A75" i="46"/>
  <c r="A60" i="46"/>
  <c r="A51" i="46"/>
  <c r="A50" i="46"/>
  <c r="A46" i="46"/>
  <c r="A35" i="46"/>
  <c r="A9" i="46"/>
  <c r="D5" i="46"/>
  <c r="E5" i="46" s="1"/>
  <c r="F5" i="46" s="1"/>
  <c r="G5" i="46" s="1"/>
  <c r="H5" i="46" s="1"/>
  <c r="I5" i="46" s="1"/>
  <c r="J5" i="46" s="1"/>
  <c r="K5" i="46" s="1"/>
  <c r="L5" i="46" s="1"/>
  <c r="M5" i="46" s="1"/>
  <c r="N5" i="46" s="1"/>
  <c r="O5" i="46" s="1"/>
  <c r="P5" i="46" s="1"/>
  <c r="Q5" i="46" s="1"/>
  <c r="R5" i="46" s="1"/>
  <c r="S5" i="46" s="1"/>
  <c r="T5" i="46" s="1"/>
  <c r="U5" i="46" s="1"/>
  <c r="V5" i="46" s="1"/>
  <c r="W5" i="46" s="1"/>
  <c r="X5" i="46" s="1"/>
  <c r="Y5" i="46" s="1"/>
  <c r="Z5" i="46" s="1"/>
  <c r="AA5" i="46" s="1"/>
  <c r="AB5" i="46" s="1"/>
  <c r="AC5" i="46" s="1"/>
  <c r="AD5" i="46" s="1"/>
  <c r="AE5" i="46" s="1"/>
  <c r="AF5" i="46" s="1"/>
  <c r="AG5" i="46" s="1"/>
  <c r="AH5" i="46" s="1"/>
  <c r="AI5" i="46" s="1"/>
  <c r="AJ5" i="46" s="1"/>
  <c r="AK5" i="46" s="1"/>
  <c r="AL5" i="46" s="1"/>
  <c r="AM5" i="46" s="1"/>
  <c r="AN5" i="46" s="1"/>
  <c r="AO5" i="46" s="1"/>
  <c r="AP5" i="46" s="1"/>
  <c r="AQ5" i="46" s="1"/>
  <c r="AR5" i="46" s="1"/>
  <c r="AS5" i="46" s="1"/>
  <c r="AT5" i="46" s="1"/>
  <c r="AU5" i="46" s="1"/>
  <c r="AV5" i="46" s="1"/>
  <c r="AW5" i="46" s="1"/>
  <c r="AX5" i="46" s="1"/>
  <c r="AY5" i="46" s="1"/>
  <c r="AZ5" i="46" s="1"/>
  <c r="BA5" i="46" s="1"/>
  <c r="BB5" i="46" s="1"/>
  <c r="BC5" i="46" s="1"/>
  <c r="BD5" i="46" s="1"/>
  <c r="BE5" i="46" s="1"/>
  <c r="BF5" i="46" s="1"/>
  <c r="BG5" i="46" s="1"/>
  <c r="BH5" i="46" s="1"/>
  <c r="BI5" i="46" s="1"/>
  <c r="BJ5" i="46" s="1"/>
  <c r="M5" i="45"/>
  <c r="N5" i="45" s="1"/>
  <c r="O5" i="45" s="1"/>
  <c r="P5" i="45" s="1"/>
  <c r="Q5" i="45" s="1"/>
  <c r="R5" i="45" s="1"/>
  <c r="S5" i="45" s="1"/>
  <c r="T5" i="45" s="1"/>
  <c r="U5" i="45" s="1"/>
  <c r="V5" i="45" s="1"/>
  <c r="W5" i="45" s="1"/>
  <c r="X5" i="45" s="1"/>
  <c r="Y5" i="45" s="1"/>
  <c r="Z5" i="45" s="1"/>
  <c r="AA5" i="45" s="1"/>
  <c r="AB5" i="45" s="1"/>
  <c r="AC5" i="45" s="1"/>
  <c r="AD5" i="45" s="1"/>
  <c r="AE5" i="45" s="1"/>
  <c r="AF5" i="45" s="1"/>
  <c r="AG5" i="45" s="1"/>
  <c r="AH5" i="45" s="1"/>
  <c r="AI5" i="45" s="1"/>
  <c r="AJ5" i="45" s="1"/>
  <c r="AK5" i="45" s="1"/>
  <c r="AL5" i="45" s="1"/>
  <c r="AM5" i="45" s="1"/>
  <c r="AN5" i="45" s="1"/>
  <c r="AO5" i="45" s="1"/>
  <c r="AP5" i="45" s="1"/>
  <c r="AQ5" i="45" s="1"/>
  <c r="AR5" i="45" s="1"/>
  <c r="AS5" i="45" s="1"/>
  <c r="AT5" i="45" s="1"/>
  <c r="AU5" i="45" s="1"/>
  <c r="AV5" i="45" s="1"/>
  <c r="AW5" i="45" s="1"/>
  <c r="AX5" i="45" s="1"/>
  <c r="AY5" i="45" s="1"/>
  <c r="AZ5" i="45" s="1"/>
  <c r="BA5" i="45" s="1"/>
  <c r="BB5" i="45" s="1"/>
  <c r="BC5" i="45" s="1"/>
  <c r="BD5" i="45" s="1"/>
  <c r="BE5" i="45" s="1"/>
  <c r="BF5" i="45" s="1"/>
  <c r="BG5" i="45" s="1"/>
  <c r="BH5" i="45" s="1"/>
  <c r="BI5" i="45" s="1"/>
  <c r="BJ5" i="45" s="1"/>
  <c r="BK5" i="45" s="1"/>
  <c r="BL5" i="45" s="1"/>
  <c r="BM5" i="45" s="1"/>
  <c r="BN5" i="45" s="1"/>
  <c r="BO5" i="45" s="1"/>
  <c r="BP5" i="45" s="1"/>
  <c r="BQ5" i="45" s="1"/>
  <c r="BR5" i="45" s="1"/>
  <c r="BS5" i="45" s="1"/>
  <c r="B7" i="41"/>
  <c r="C7" i="41" s="1"/>
  <c r="D7" i="41" s="1"/>
  <c r="E7" i="41" s="1"/>
  <c r="F7" i="41" s="1"/>
  <c r="G7" i="41" s="1"/>
  <c r="H7" i="41" s="1"/>
  <c r="I7" i="41" s="1"/>
  <c r="BL22" i="19"/>
  <c r="C22" i="19"/>
  <c r="D5" i="19"/>
  <c r="E5" i="19" s="1"/>
  <c r="F5" i="19" s="1"/>
  <c r="G5" i="19" s="1"/>
  <c r="H5" i="19" s="1"/>
  <c r="I5" i="19" s="1"/>
  <c r="J5" i="19" s="1"/>
  <c r="K5" i="19" s="1"/>
  <c r="L5" i="19" s="1"/>
  <c r="M5" i="19" s="1"/>
  <c r="N5" i="19" s="1"/>
  <c r="O5" i="19" s="1"/>
  <c r="P5" i="19" s="1"/>
  <c r="Q5" i="19" s="1"/>
  <c r="R5" i="19" s="1"/>
  <c r="S5" i="19" s="1"/>
  <c r="T5" i="19" s="1"/>
  <c r="U5" i="19" s="1"/>
  <c r="V5" i="19" s="1"/>
  <c r="W5" i="19" s="1"/>
  <c r="X5" i="19" s="1"/>
  <c r="Y5" i="19" s="1"/>
  <c r="Z5" i="19" s="1"/>
  <c r="AA5" i="19" s="1"/>
  <c r="AB5" i="19" s="1"/>
  <c r="AC5" i="19" s="1"/>
  <c r="AD5" i="19" s="1"/>
  <c r="AE5" i="19" s="1"/>
  <c r="AF5" i="19" s="1"/>
  <c r="AG5" i="19" s="1"/>
  <c r="AH5" i="19" s="1"/>
  <c r="AI5" i="19" s="1"/>
  <c r="AJ5" i="19" s="1"/>
  <c r="AK5" i="19" s="1"/>
  <c r="AL5" i="19" s="1"/>
  <c r="AM5" i="19" s="1"/>
  <c r="AN5" i="19" s="1"/>
  <c r="AO5" i="19" s="1"/>
  <c r="AP5" i="19" s="1"/>
  <c r="AQ5" i="19" s="1"/>
  <c r="AR5" i="19" s="1"/>
  <c r="AS5" i="19" s="1"/>
  <c r="AT5" i="19" s="1"/>
  <c r="AU5" i="19" s="1"/>
  <c r="AV5" i="19" s="1"/>
  <c r="AW5" i="19" s="1"/>
  <c r="AX5" i="19" s="1"/>
  <c r="AY5" i="19" s="1"/>
  <c r="AZ5" i="19" s="1"/>
  <c r="BA5" i="19" s="1"/>
  <c r="BB5" i="19" s="1"/>
  <c r="BC5" i="19" s="1"/>
  <c r="BD5" i="19" s="1"/>
  <c r="BE5" i="19" s="1"/>
  <c r="BF5" i="19" s="1"/>
  <c r="BG5" i="19" s="1"/>
  <c r="BH5" i="19" s="1"/>
  <c r="BI5" i="19" s="1"/>
  <c r="BJ5" i="19" s="1"/>
  <c r="C5" i="25"/>
  <c r="D5" i="25" s="1"/>
  <c r="E5" i="25" s="1"/>
  <c r="F5" i="25" s="1"/>
  <c r="G5" i="25" s="1"/>
  <c r="H5" i="25" s="1"/>
  <c r="I5" i="25" s="1"/>
  <c r="J5" i="25" s="1"/>
  <c r="K5" i="25" s="1"/>
  <c r="L5" i="25" s="1"/>
  <c r="M5" i="25" s="1"/>
  <c r="N5" i="25" s="1"/>
  <c r="O5" i="25" s="1"/>
  <c r="P5" i="25" s="1"/>
  <c r="Q5" i="25" s="1"/>
  <c r="R5" i="25" s="1"/>
  <c r="S5" i="25" s="1"/>
  <c r="T5" i="25" s="1"/>
  <c r="U5" i="25" s="1"/>
  <c r="V5" i="25" s="1"/>
  <c r="W5" i="25" s="1"/>
  <c r="X5" i="25" s="1"/>
  <c r="Y5" i="25" s="1"/>
  <c r="Z5" i="25" s="1"/>
  <c r="AA5" i="25" s="1"/>
  <c r="AB5" i="25" s="1"/>
  <c r="AC5" i="25" s="1"/>
  <c r="AD5" i="25" s="1"/>
  <c r="AE5" i="25" s="1"/>
  <c r="AF5" i="25" s="1"/>
  <c r="AG5" i="25" s="1"/>
  <c r="AH5" i="25" s="1"/>
  <c r="AI5" i="25" s="1"/>
  <c r="AJ5" i="25" s="1"/>
  <c r="AK5" i="25" s="1"/>
  <c r="AL5" i="25" s="1"/>
  <c r="AM5" i="25" s="1"/>
  <c r="AN5" i="25" s="1"/>
  <c r="AO5" i="25" s="1"/>
  <c r="AP5" i="25" s="1"/>
  <c r="AQ5" i="25" s="1"/>
  <c r="AR5" i="25" s="1"/>
  <c r="AS5" i="25" s="1"/>
  <c r="AT5" i="25" s="1"/>
  <c r="AU5" i="25" s="1"/>
  <c r="AV5" i="25" s="1"/>
  <c r="AW5" i="25" s="1"/>
  <c r="AX5" i="25" s="1"/>
  <c r="AY5" i="25" s="1"/>
  <c r="AZ5" i="25" s="1"/>
  <c r="BA5" i="25" s="1"/>
  <c r="BB5" i="25" s="1"/>
  <c r="BC5" i="25" s="1"/>
  <c r="BD5" i="25" s="1"/>
  <c r="BE5" i="25" s="1"/>
  <c r="BF5" i="25" s="1"/>
  <c r="BG5" i="25" s="1"/>
  <c r="BH5" i="25" s="1"/>
  <c r="BI5" i="25" s="1"/>
  <c r="D5" i="33"/>
  <c r="E5" i="33" s="1"/>
  <c r="F5" i="33" s="1"/>
  <c r="G5" i="33" s="1"/>
  <c r="H5" i="33" s="1"/>
  <c r="I5" i="33" s="1"/>
  <c r="J5" i="33" s="1"/>
  <c r="K5" i="33" s="1"/>
  <c r="L5" i="33" s="1"/>
  <c r="M5" i="33" s="1"/>
  <c r="N5" i="33" s="1"/>
  <c r="O5" i="33" s="1"/>
  <c r="P5" i="33" s="1"/>
  <c r="Q5" i="33" s="1"/>
  <c r="R5" i="33" s="1"/>
  <c r="S5" i="33" s="1"/>
  <c r="T5" i="33" s="1"/>
  <c r="U5" i="33" s="1"/>
  <c r="V5" i="33" s="1"/>
  <c r="W5" i="33" s="1"/>
  <c r="X5" i="33" s="1"/>
  <c r="Y5" i="33" s="1"/>
  <c r="Z5" i="33" s="1"/>
  <c r="AA5" i="33" s="1"/>
  <c r="AB5" i="33" s="1"/>
  <c r="AC5" i="33" s="1"/>
  <c r="AD5" i="33" s="1"/>
  <c r="AE5" i="33" s="1"/>
  <c r="AF5" i="33" s="1"/>
  <c r="AG5" i="33" s="1"/>
  <c r="AH5" i="33" s="1"/>
  <c r="AI5" i="33" s="1"/>
  <c r="AJ5" i="33" s="1"/>
  <c r="AK5" i="33" s="1"/>
  <c r="AL5" i="33" s="1"/>
  <c r="AM5" i="33" s="1"/>
  <c r="AN5" i="33" s="1"/>
  <c r="AO5" i="33" s="1"/>
  <c r="AP5" i="33" s="1"/>
  <c r="AQ5" i="33" s="1"/>
  <c r="AR5" i="33" s="1"/>
  <c r="AS5" i="33" s="1"/>
  <c r="AT5" i="33" s="1"/>
  <c r="AU5" i="33" s="1"/>
  <c r="AV5" i="33" s="1"/>
  <c r="AW5" i="33" s="1"/>
  <c r="AX5" i="33" s="1"/>
  <c r="AY5" i="33" s="1"/>
  <c r="AZ5" i="33" s="1"/>
  <c r="BA5" i="33" s="1"/>
  <c r="BB5" i="33" s="1"/>
  <c r="BC5" i="33" s="1"/>
  <c r="BD5" i="33" s="1"/>
  <c r="BE5" i="33" s="1"/>
  <c r="BF5" i="33" s="1"/>
  <c r="BG5" i="33" s="1"/>
  <c r="BH5" i="33" s="1"/>
  <c r="BI5" i="33" s="1"/>
  <c r="BJ5" i="33" s="1"/>
  <c r="C5" i="24"/>
  <c r="D5" i="24" s="1"/>
  <c r="E5" i="24" s="1"/>
  <c r="F5" i="24" s="1"/>
  <c r="G5" i="24" s="1"/>
  <c r="H5" i="24" s="1"/>
  <c r="I5" i="24" s="1"/>
  <c r="J5" i="24" s="1"/>
  <c r="K5" i="24" s="1"/>
  <c r="L5" i="24" s="1"/>
  <c r="M5" i="24" s="1"/>
  <c r="N5" i="24" s="1"/>
  <c r="O5" i="24" s="1"/>
  <c r="P5" i="24" s="1"/>
  <c r="Q5" i="24" s="1"/>
  <c r="R5" i="24" s="1"/>
  <c r="S5" i="24" s="1"/>
  <c r="T5" i="24" s="1"/>
  <c r="U5" i="24" s="1"/>
  <c r="V5" i="24" s="1"/>
  <c r="W5" i="24" s="1"/>
  <c r="X5" i="24" s="1"/>
  <c r="Y5" i="24" s="1"/>
  <c r="Z5" i="24" s="1"/>
  <c r="AA5" i="24" s="1"/>
  <c r="AB5" i="24" s="1"/>
  <c r="AC5" i="24" s="1"/>
  <c r="AD5" i="24" s="1"/>
  <c r="AE5" i="24" s="1"/>
  <c r="AF5" i="24" s="1"/>
  <c r="AG5" i="24" s="1"/>
  <c r="AH5" i="24" s="1"/>
  <c r="AI5" i="24" s="1"/>
  <c r="AJ5" i="24" s="1"/>
  <c r="AK5" i="24" s="1"/>
  <c r="AL5" i="24" s="1"/>
  <c r="AM5" i="24" s="1"/>
  <c r="AN5" i="24" s="1"/>
  <c r="AO5" i="24" s="1"/>
  <c r="AP5" i="24" s="1"/>
  <c r="AQ5" i="24" s="1"/>
  <c r="AR5" i="24" s="1"/>
  <c r="AS5" i="24" s="1"/>
  <c r="AT5" i="24" s="1"/>
  <c r="AU5" i="24" s="1"/>
  <c r="AV5" i="24" s="1"/>
  <c r="AW5" i="24" s="1"/>
  <c r="AX5" i="24" s="1"/>
  <c r="AY5" i="24" s="1"/>
  <c r="AZ5" i="24" s="1"/>
  <c r="BA5" i="24" s="1"/>
  <c r="BB5" i="24" s="1"/>
  <c r="BC5" i="24" s="1"/>
  <c r="BD5" i="24" s="1"/>
  <c r="BE5" i="24" s="1"/>
  <c r="BF5" i="24" s="1"/>
  <c r="BG5" i="24" s="1"/>
  <c r="BH5" i="24" s="1"/>
  <c r="BI5" i="24" s="1"/>
  <c r="B3" i="24"/>
  <c r="C3" i="24" s="1"/>
  <c r="D33" i="29"/>
  <c r="D17" i="29"/>
  <c r="E5" i="29"/>
  <c r="F5" i="29" s="1"/>
  <c r="G5" i="29" s="1"/>
  <c r="H5" i="29" s="1"/>
  <c r="I5" i="29" s="1"/>
  <c r="J5" i="29" s="1"/>
  <c r="K5" i="29" s="1"/>
  <c r="L5" i="29" s="1"/>
  <c r="M5" i="29" s="1"/>
  <c r="N5" i="29" s="1"/>
  <c r="O5" i="29" s="1"/>
  <c r="P5" i="29" s="1"/>
  <c r="Q5" i="29" s="1"/>
  <c r="R5" i="29" s="1"/>
  <c r="S5" i="29" s="1"/>
  <c r="T5" i="29" s="1"/>
  <c r="U5" i="29" s="1"/>
  <c r="V5" i="29" s="1"/>
  <c r="W5" i="29" s="1"/>
  <c r="X5" i="29" s="1"/>
  <c r="Y5" i="29" s="1"/>
  <c r="Z5" i="29" s="1"/>
  <c r="AA5" i="29" s="1"/>
  <c r="AB5" i="29" s="1"/>
  <c r="AC5" i="29" s="1"/>
  <c r="AD5" i="29" s="1"/>
  <c r="AE5" i="29" s="1"/>
  <c r="AF5" i="29" s="1"/>
  <c r="AG5" i="29" s="1"/>
  <c r="AH5" i="29" s="1"/>
  <c r="AI5" i="29" s="1"/>
  <c r="AJ5" i="29" s="1"/>
  <c r="AK5" i="29" s="1"/>
  <c r="AL5" i="29" s="1"/>
  <c r="AM5" i="29" s="1"/>
  <c r="AN5" i="29" s="1"/>
  <c r="D5" i="13"/>
  <c r="E5" i="13" s="1"/>
  <c r="F5" i="13" s="1"/>
  <c r="G5" i="13" s="1"/>
  <c r="H5" i="13" s="1"/>
  <c r="I5" i="13" s="1"/>
  <c r="J5" i="13" s="1"/>
  <c r="K5" i="13" s="1"/>
  <c r="L5" i="13" s="1"/>
  <c r="M5" i="13" s="1"/>
  <c r="N5" i="13" s="1"/>
  <c r="O5" i="13" s="1"/>
  <c r="P5" i="13" s="1"/>
  <c r="Q5" i="13" s="1"/>
  <c r="R5" i="13" s="1"/>
  <c r="S5" i="13" s="1"/>
  <c r="T5" i="13" s="1"/>
  <c r="U5" i="13" s="1"/>
  <c r="V5" i="13" s="1"/>
  <c r="W5" i="13" s="1"/>
  <c r="X5" i="13" s="1"/>
  <c r="Y5" i="13" s="1"/>
  <c r="Z5" i="13" s="1"/>
  <c r="AA5" i="13" s="1"/>
  <c r="AB5" i="13" s="1"/>
  <c r="AC5" i="13" s="1"/>
  <c r="AD5" i="13" s="1"/>
  <c r="AE5" i="13" s="1"/>
  <c r="AF5" i="13" s="1"/>
  <c r="AG5" i="13" s="1"/>
  <c r="AH5" i="13" s="1"/>
  <c r="AI5" i="13" s="1"/>
  <c r="AJ5" i="13" s="1"/>
  <c r="AK5" i="13" s="1"/>
  <c r="AL5" i="13" s="1"/>
  <c r="AM5" i="13" s="1"/>
  <c r="AN5" i="13" s="1"/>
  <c r="AO5" i="13" s="1"/>
  <c r="AP5" i="13" s="1"/>
  <c r="AQ5" i="13" s="1"/>
  <c r="AR5" i="13" s="1"/>
  <c r="AS5" i="13" s="1"/>
  <c r="AT5" i="13" s="1"/>
  <c r="AU5" i="13" s="1"/>
  <c r="AV5" i="13" s="1"/>
  <c r="AW5" i="13" s="1"/>
  <c r="AX5" i="13" s="1"/>
  <c r="AY5" i="13" s="1"/>
  <c r="AZ5" i="13" s="1"/>
  <c r="BA5" i="13" s="1"/>
  <c r="BB5" i="13" s="1"/>
  <c r="BC5" i="13" s="1"/>
  <c r="BD5" i="13" s="1"/>
  <c r="BE5" i="13" s="1"/>
  <c r="BF5" i="13" s="1"/>
  <c r="BG5" i="13" s="1"/>
  <c r="BH5" i="13" s="1"/>
  <c r="BI5" i="13" s="1"/>
  <c r="BJ5" i="13" s="1"/>
  <c r="C5" i="11"/>
  <c r="D5" i="11" s="1"/>
  <c r="E5" i="11" s="1"/>
  <c r="F5" i="11" s="1"/>
  <c r="G5" i="11" s="1"/>
  <c r="H5" i="11" s="1"/>
  <c r="I5" i="11" s="1"/>
  <c r="J5" i="11" s="1"/>
  <c r="K5" i="11" s="1"/>
  <c r="L5" i="11" s="1"/>
  <c r="M5" i="11" s="1"/>
  <c r="N5" i="11" s="1"/>
  <c r="O5" i="11" s="1"/>
  <c r="P5" i="11" s="1"/>
  <c r="Q5" i="11" s="1"/>
  <c r="R5" i="11" s="1"/>
  <c r="S5" i="11" s="1"/>
  <c r="T5" i="11" s="1"/>
  <c r="U5" i="11" s="1"/>
  <c r="V5" i="11" s="1"/>
  <c r="W5" i="11" s="1"/>
  <c r="X5" i="11" s="1"/>
  <c r="Y5" i="11" s="1"/>
  <c r="Z5" i="11" s="1"/>
  <c r="AA5" i="11" s="1"/>
  <c r="AB5" i="11" s="1"/>
  <c r="AC5" i="11" s="1"/>
  <c r="AD5" i="11" s="1"/>
  <c r="AE5" i="11" s="1"/>
  <c r="AF5" i="11" s="1"/>
  <c r="AG5" i="11" s="1"/>
  <c r="AH5" i="11" s="1"/>
  <c r="AI5" i="11" s="1"/>
  <c r="AJ5" i="11" s="1"/>
  <c r="AK5" i="11" s="1"/>
  <c r="AL5" i="11" s="1"/>
  <c r="AM5" i="11" s="1"/>
  <c r="AN5" i="11" s="1"/>
  <c r="AO5" i="11" s="1"/>
  <c r="AP5" i="11" s="1"/>
  <c r="AQ5" i="11" s="1"/>
  <c r="AR5" i="11" s="1"/>
  <c r="AS5" i="11" s="1"/>
  <c r="AT5" i="11" s="1"/>
  <c r="AU5" i="11" s="1"/>
  <c r="AV5" i="11" s="1"/>
  <c r="AW5" i="11" s="1"/>
  <c r="AX5" i="11" s="1"/>
  <c r="AY5" i="11" s="1"/>
  <c r="AZ5" i="11" s="1"/>
  <c r="BA5" i="11" s="1"/>
  <c r="BB5" i="11" s="1"/>
  <c r="BC5" i="11" s="1"/>
  <c r="BD5" i="11" s="1"/>
  <c r="BE5" i="11" s="1"/>
  <c r="BF5" i="11" s="1"/>
  <c r="BG5" i="11" s="1"/>
  <c r="BH5" i="11" s="1"/>
  <c r="BI5" i="11" s="1"/>
  <c r="D5" i="10"/>
  <c r="E5" i="10" s="1"/>
  <c r="F5" i="10" s="1"/>
  <c r="G5" i="10" s="1"/>
  <c r="H5" i="10" s="1"/>
  <c r="I5" i="10" s="1"/>
  <c r="J5" i="10" s="1"/>
  <c r="K5" i="10" s="1"/>
  <c r="L5" i="10" s="1"/>
  <c r="M5" i="10" s="1"/>
  <c r="N5" i="10" s="1"/>
  <c r="O5" i="10" s="1"/>
  <c r="P5" i="10" s="1"/>
  <c r="Q5" i="10" s="1"/>
  <c r="R5" i="10" s="1"/>
  <c r="S5" i="10" s="1"/>
  <c r="T5" i="10" s="1"/>
  <c r="U5" i="10" s="1"/>
  <c r="V5" i="10" s="1"/>
  <c r="W5" i="10" s="1"/>
  <c r="X5" i="10" s="1"/>
  <c r="Y5" i="10" s="1"/>
  <c r="Z5" i="10" s="1"/>
  <c r="AA5" i="10" s="1"/>
  <c r="AB5" i="10" s="1"/>
  <c r="AC5" i="10" s="1"/>
  <c r="AD5" i="10" s="1"/>
  <c r="AE5" i="10" s="1"/>
  <c r="AF5" i="10" s="1"/>
  <c r="AG5" i="10" s="1"/>
  <c r="AH5" i="10" s="1"/>
  <c r="AI5" i="10" s="1"/>
  <c r="AJ5" i="10" s="1"/>
  <c r="AK5" i="10" s="1"/>
  <c r="AL5" i="10" s="1"/>
  <c r="AM5" i="10" s="1"/>
  <c r="AN5" i="10" s="1"/>
  <c r="AO5" i="10" s="1"/>
  <c r="AP5" i="10" s="1"/>
  <c r="AQ5" i="10" s="1"/>
  <c r="AR5" i="10" s="1"/>
  <c r="AS5" i="10" s="1"/>
  <c r="AT5" i="10" s="1"/>
  <c r="AU5" i="10" s="1"/>
  <c r="AV5" i="10" s="1"/>
  <c r="AW5" i="10" s="1"/>
  <c r="AX5" i="10" s="1"/>
  <c r="AY5" i="10" s="1"/>
  <c r="AZ5" i="10" s="1"/>
  <c r="BA5" i="10" s="1"/>
  <c r="BB5" i="10" s="1"/>
  <c r="BC5" i="10" s="1"/>
  <c r="BD5" i="10" s="1"/>
  <c r="BE5" i="10" s="1"/>
  <c r="BF5" i="10" s="1"/>
  <c r="BG5" i="10" s="1"/>
  <c r="BH5" i="10" s="1"/>
  <c r="BL2" i="25" l="1"/>
  <c r="C21" i="13"/>
  <c r="C25" i="13"/>
  <c r="C22" i="13"/>
  <c r="C23" i="13"/>
  <c r="C24" i="13"/>
  <c r="C11" i="10"/>
  <c r="C12" i="10"/>
  <c r="C13" i="10"/>
  <c r="C10" i="10"/>
  <c r="C14" i="10"/>
  <c r="C15" i="10"/>
  <c r="C9" i="10"/>
  <c r="C17" i="10"/>
  <c r="C8" i="10"/>
  <c r="C16" i="10"/>
  <c r="C43" i="13"/>
  <c r="C45" i="13"/>
  <c r="C44" i="13"/>
  <c r="C46" i="13"/>
  <c r="C47" i="13"/>
  <c r="C49" i="13"/>
  <c r="C42" i="13"/>
  <c r="C48" i="13"/>
  <c r="E33" i="29"/>
  <c r="C20" i="13"/>
  <c r="C34" i="13"/>
  <c r="C33" i="13"/>
  <c r="B18" i="46"/>
  <c r="C18" i="46" s="1"/>
  <c r="B11" i="46"/>
  <c r="C11" i="46" s="1"/>
  <c r="B19" i="46"/>
  <c r="C19" i="46" s="1"/>
  <c r="B12" i="46"/>
  <c r="C12" i="46" s="1"/>
  <c r="B13" i="46"/>
  <c r="C13" i="46" s="1"/>
  <c r="B14" i="46"/>
  <c r="C14" i="46" s="1"/>
  <c r="B16" i="46"/>
  <c r="C16" i="46" s="1"/>
  <c r="B17" i="46"/>
  <c r="C17" i="46" s="1"/>
  <c r="B15" i="46"/>
  <c r="C15" i="46" s="1"/>
  <c r="C31" i="46"/>
  <c r="C26" i="46"/>
  <c r="C28" i="46"/>
  <c r="C29" i="46"/>
  <c r="C27" i="46"/>
  <c r="C30" i="46"/>
  <c r="A25" i="33"/>
  <c r="A20" i="33"/>
  <c r="C25" i="46"/>
  <c r="E3" i="29"/>
  <c r="AO5" i="29"/>
  <c r="BN2" i="29"/>
  <c r="BM2" i="19"/>
  <c r="D3" i="13"/>
  <c r="B23" i="46"/>
  <c r="C23" i="46" s="1"/>
  <c r="B10" i="46"/>
  <c r="C10" i="46" s="1"/>
  <c r="B22" i="46"/>
  <c r="C22" i="46" s="1"/>
  <c r="B21" i="46"/>
  <c r="C21" i="46" s="1"/>
  <c r="BI14" i="24"/>
  <c r="BI5" i="10"/>
  <c r="BJ5" i="10" s="1"/>
  <c r="A21" i="33"/>
  <c r="A15" i="33"/>
  <c r="B2" i="24"/>
  <c r="M1" i="45"/>
  <c r="A13" i="33"/>
  <c r="D1" i="29"/>
  <c r="U1" i="45"/>
  <c r="Q1" i="45"/>
  <c r="C1" i="46"/>
  <c r="BL111" i="46"/>
  <c r="V4" i="45"/>
  <c r="R4" i="45"/>
  <c r="N4" i="45"/>
  <c r="X1" i="45"/>
  <c r="V1" i="45"/>
  <c r="T1" i="45"/>
  <c r="R1" i="45"/>
  <c r="P1" i="45"/>
  <c r="N1" i="45"/>
  <c r="L1" i="45"/>
  <c r="BL2" i="11"/>
  <c r="C1" i="10"/>
  <c r="A14" i="33"/>
  <c r="J1" i="20"/>
  <c r="B2" i="11"/>
  <c r="D48" i="22"/>
  <c r="D32" i="22"/>
  <c r="D14" i="24"/>
  <c r="F14" i="24"/>
  <c r="H14" i="24"/>
  <c r="J14" i="24"/>
  <c r="L14" i="24"/>
  <c r="N14" i="24"/>
  <c r="O14" i="24"/>
  <c r="Q14" i="24"/>
  <c r="S14" i="24"/>
  <c r="U14" i="24"/>
  <c r="W14" i="24"/>
  <c r="Y14" i="24"/>
  <c r="AA14" i="24"/>
  <c r="AC14" i="24"/>
  <c r="AE14" i="24"/>
  <c r="AG14" i="24"/>
  <c r="AI14" i="24"/>
  <c r="AK14" i="24"/>
  <c r="AM14" i="24"/>
  <c r="AO14" i="24"/>
  <c r="AQ14" i="24"/>
  <c r="AS14" i="24"/>
  <c r="AU14" i="24"/>
  <c r="AW14" i="24"/>
  <c r="AY14" i="24"/>
  <c r="BA14" i="24"/>
  <c r="BC14" i="24"/>
  <c r="BE14" i="24"/>
  <c r="BG14" i="24"/>
  <c r="C14" i="24"/>
  <c r="E14" i="24"/>
  <c r="G14" i="24"/>
  <c r="I14" i="24"/>
  <c r="K14" i="24"/>
  <c r="M14" i="24"/>
  <c r="P14" i="24"/>
  <c r="R14" i="24"/>
  <c r="T14" i="24"/>
  <c r="V14" i="24"/>
  <c r="X14" i="24"/>
  <c r="Z14" i="24"/>
  <c r="AB14" i="24"/>
  <c r="AD14" i="24"/>
  <c r="AF14" i="24"/>
  <c r="AH14" i="24"/>
  <c r="AJ14" i="24"/>
  <c r="AL14" i="24"/>
  <c r="AN14" i="24"/>
  <c r="AP14" i="24"/>
  <c r="AR14" i="24"/>
  <c r="AT14" i="24"/>
  <c r="AV14" i="24"/>
  <c r="AX14" i="24"/>
  <c r="AZ14" i="24"/>
  <c r="BB14" i="24"/>
  <c r="BD14" i="24"/>
  <c r="BF14" i="24"/>
  <c r="BH14" i="24"/>
  <c r="R2" i="45"/>
  <c r="W1" i="45"/>
  <c r="U4" i="45"/>
  <c r="T4" i="45"/>
  <c r="S4" i="45"/>
  <c r="S1" i="45"/>
  <c r="Q4" i="45"/>
  <c r="P4" i="45"/>
  <c r="O4" i="45"/>
  <c r="O1" i="45"/>
  <c r="M4" i="45"/>
  <c r="L4" i="45"/>
  <c r="N2" i="45"/>
  <c r="P2" i="45"/>
  <c r="T2" i="45"/>
  <c r="S2" i="45"/>
  <c r="Q2" i="45"/>
  <c r="O2" i="45"/>
  <c r="M2" i="45"/>
  <c r="C2" i="46"/>
  <c r="BM2" i="46"/>
  <c r="BM2" i="13"/>
  <c r="V2" i="45"/>
  <c r="C13" i="33"/>
  <c r="C19" i="33" s="1"/>
  <c r="BM2" i="10"/>
  <c r="D3" i="10"/>
  <c r="U2" i="45"/>
  <c r="W2" i="45"/>
  <c r="C1" i="13"/>
  <c r="B1" i="11"/>
  <c r="C1" i="19"/>
  <c r="C1" i="33"/>
  <c r="D3" i="33"/>
  <c r="C2" i="10"/>
  <c r="D3" i="11"/>
  <c r="B4" i="11"/>
  <c r="C2" i="11"/>
  <c r="C1" i="11"/>
  <c r="K3" i="20"/>
  <c r="L2" i="45"/>
  <c r="D3" i="19"/>
  <c r="D3" i="46"/>
  <c r="C3" i="25"/>
  <c r="C1" i="25" s="1"/>
  <c r="C2" i="24"/>
  <c r="D3" i="24"/>
  <c r="B4" i="24"/>
  <c r="C1" i="24"/>
  <c r="B1" i="24"/>
  <c r="B1" i="25"/>
  <c r="D2" i="29"/>
  <c r="X2" i="45"/>
  <c r="Y3" i="45"/>
  <c r="C2" i="13"/>
  <c r="D20" i="13" l="1"/>
  <c r="D22" i="13"/>
  <c r="D25" i="13"/>
  <c r="D24" i="13"/>
  <c r="D21" i="13"/>
  <c r="D23" i="13"/>
  <c r="BM2" i="25"/>
  <c r="D8" i="10"/>
  <c r="D11" i="10"/>
  <c r="D14" i="10"/>
  <c r="D13" i="10"/>
  <c r="D10" i="10"/>
  <c r="D16" i="10"/>
  <c r="D17" i="10"/>
  <c r="D12" i="10"/>
  <c r="D15" i="10"/>
  <c r="D9" i="10"/>
  <c r="C61" i="13"/>
  <c r="F33" i="29"/>
  <c r="E2" i="29"/>
  <c r="E1" i="29"/>
  <c r="D30" i="46"/>
  <c r="D27" i="46"/>
  <c r="D25" i="46"/>
  <c r="D31" i="46"/>
  <c r="D28" i="46"/>
  <c r="D29" i="46"/>
  <c r="D26" i="46"/>
  <c r="D21" i="46"/>
  <c r="D23" i="46"/>
  <c r="D11" i="46"/>
  <c r="D22" i="46"/>
  <c r="D10" i="46"/>
  <c r="D19" i="46"/>
  <c r="D14" i="46"/>
  <c r="D15" i="46"/>
  <c r="D13" i="46"/>
  <c r="D12" i="46"/>
  <c r="D16" i="46"/>
  <c r="D17" i="46"/>
  <c r="D18" i="46"/>
  <c r="D4" i="29"/>
  <c r="F3" i="29"/>
  <c r="C9" i="46"/>
  <c r="C24" i="46"/>
  <c r="AP5" i="29"/>
  <c r="BO2" i="29"/>
  <c r="BN2" i="19"/>
  <c r="D1" i="13"/>
  <c r="E3" i="13"/>
  <c r="D2" i="13"/>
  <c r="C4" i="13"/>
  <c r="D13" i="33"/>
  <c r="D19" i="33" s="1"/>
  <c r="BI15" i="24"/>
  <c r="F16" i="24"/>
  <c r="BI16" i="24"/>
  <c r="C20" i="46"/>
  <c r="D2" i="10"/>
  <c r="B16" i="24"/>
  <c r="C15" i="33" s="1"/>
  <c r="C21" i="33" s="1"/>
  <c r="C27" i="33" s="1"/>
  <c r="B15" i="24"/>
  <c r="C14" i="33" s="1"/>
  <c r="C20" i="33" s="1"/>
  <c r="AC16" i="24"/>
  <c r="AS16" i="24"/>
  <c r="M16" i="24"/>
  <c r="AZ16" i="24"/>
  <c r="AJ16" i="24"/>
  <c r="BE15" i="24"/>
  <c r="Y15" i="24"/>
  <c r="AO15" i="24"/>
  <c r="I15" i="24"/>
  <c r="BN2" i="13"/>
  <c r="BM111" i="46"/>
  <c r="E3" i="10"/>
  <c r="BM2" i="11"/>
  <c r="T16" i="24"/>
  <c r="BA16" i="24"/>
  <c r="AK16" i="24"/>
  <c r="U16" i="24"/>
  <c r="BH16" i="24"/>
  <c r="AR16" i="24"/>
  <c r="AB16" i="24"/>
  <c r="L16" i="24"/>
  <c r="AZ15" i="24"/>
  <c r="AW15" i="24"/>
  <c r="AG15" i="24"/>
  <c r="Q15" i="24"/>
  <c r="BH15" i="24"/>
  <c r="AR15" i="24"/>
  <c r="BE16" i="24"/>
  <c r="AW16" i="24"/>
  <c r="AO16" i="24"/>
  <c r="AG16" i="24"/>
  <c r="Y16" i="24"/>
  <c r="Q16" i="24"/>
  <c r="I16" i="24"/>
  <c r="BD16" i="24"/>
  <c r="AV16" i="24"/>
  <c r="AN16" i="24"/>
  <c r="AF16" i="24"/>
  <c r="X16" i="24"/>
  <c r="P16" i="24"/>
  <c r="G16" i="24"/>
  <c r="C4" i="10"/>
  <c r="BA15" i="24"/>
  <c r="AS15" i="24"/>
  <c r="AK15" i="24"/>
  <c r="AC15" i="24"/>
  <c r="U15" i="24"/>
  <c r="M15" i="24"/>
  <c r="E15" i="24"/>
  <c r="BD15" i="24"/>
  <c r="AV15" i="24"/>
  <c r="AN15" i="24"/>
  <c r="E3" i="33"/>
  <c r="E13" i="33" s="1"/>
  <c r="D16" i="24"/>
  <c r="H16" i="24"/>
  <c r="BG16" i="24"/>
  <c r="BC16" i="24"/>
  <c r="AY16" i="24"/>
  <c r="AU16" i="24"/>
  <c r="AQ16" i="24"/>
  <c r="AM16" i="24"/>
  <c r="AI16" i="24"/>
  <c r="AE16" i="24"/>
  <c r="AA16" i="24"/>
  <c r="W16" i="24"/>
  <c r="S16" i="24"/>
  <c r="O16" i="24"/>
  <c r="K16" i="24"/>
  <c r="E16" i="24"/>
  <c r="BF16" i="24"/>
  <c r="BB16" i="24"/>
  <c r="AX16" i="24"/>
  <c r="AT16" i="24"/>
  <c r="AP16" i="24"/>
  <c r="AL16" i="24"/>
  <c r="AH16" i="24"/>
  <c r="AD16" i="24"/>
  <c r="Z16" i="24"/>
  <c r="V16" i="24"/>
  <c r="R16" i="24"/>
  <c r="N16" i="24"/>
  <c r="J16" i="24"/>
  <c r="C16" i="24"/>
  <c r="BJ14" i="24"/>
  <c r="AJ15" i="24"/>
  <c r="AB15" i="24"/>
  <c r="T15" i="24"/>
  <c r="AF15" i="24"/>
  <c r="X15" i="24"/>
  <c r="P15" i="24"/>
  <c r="L15" i="24"/>
  <c r="BG15" i="24"/>
  <c r="BC15" i="24"/>
  <c r="AY15" i="24"/>
  <c r="AU15" i="24"/>
  <c r="AQ15" i="24"/>
  <c r="AM15" i="24"/>
  <c r="AI15" i="24"/>
  <c r="AE15" i="24"/>
  <c r="AA15" i="24"/>
  <c r="W15" i="24"/>
  <c r="S15" i="24"/>
  <c r="O15" i="24"/>
  <c r="K15" i="24"/>
  <c r="G15" i="24"/>
  <c r="C15" i="24"/>
  <c r="BF15" i="24"/>
  <c r="BB15" i="24"/>
  <c r="AX15" i="24"/>
  <c r="AT15" i="24"/>
  <c r="AP15" i="24"/>
  <c r="AL15" i="24"/>
  <c r="AH15" i="24"/>
  <c r="AD15" i="24"/>
  <c r="Z15" i="24"/>
  <c r="V15" i="24"/>
  <c r="R15" i="24"/>
  <c r="N15" i="24"/>
  <c r="J15" i="24"/>
  <c r="H15" i="24"/>
  <c r="F15" i="24"/>
  <c r="D15" i="24"/>
  <c r="D49" i="22"/>
  <c r="H21" i="20"/>
  <c r="BN2" i="46"/>
  <c r="E3" i="46"/>
  <c r="G21" i="20"/>
  <c r="E21" i="20"/>
  <c r="D21" i="20"/>
  <c r="F21" i="20"/>
  <c r="C21" i="20"/>
  <c r="D1" i="10"/>
  <c r="BN2" i="10"/>
  <c r="D2" i="33"/>
  <c r="D1" i="33"/>
  <c r="C4" i="33"/>
  <c r="E3" i="11"/>
  <c r="D2" i="11"/>
  <c r="C4" i="11"/>
  <c r="D1" i="11"/>
  <c r="E19" i="45"/>
  <c r="E2" i="45"/>
  <c r="K2" i="20"/>
  <c r="J4" i="20"/>
  <c r="L3" i="20"/>
  <c r="K1" i="20"/>
  <c r="D2" i="46"/>
  <c r="D1" i="46"/>
  <c r="C4" i="46"/>
  <c r="D2" i="19"/>
  <c r="E3" i="19"/>
  <c r="C4" i="19"/>
  <c r="D1" i="19"/>
  <c r="C25" i="33"/>
  <c r="C2" i="25"/>
  <c r="D3" i="25"/>
  <c r="B4" i="25"/>
  <c r="Y2" i="45"/>
  <c r="Z3" i="45"/>
  <c r="Y1" i="45"/>
  <c r="X4" i="45"/>
  <c r="C4" i="24"/>
  <c r="D1" i="24"/>
  <c r="E3" i="24"/>
  <c r="D2" i="24"/>
  <c r="E25" i="13" l="1"/>
  <c r="E20" i="13"/>
  <c r="E22" i="13"/>
  <c r="E24" i="13"/>
  <c r="E21" i="13"/>
  <c r="E23" i="13"/>
  <c r="BN2" i="25"/>
  <c r="E8" i="10"/>
  <c r="E11" i="10"/>
  <c r="E9" i="10"/>
  <c r="E12" i="10"/>
  <c r="E15" i="10"/>
  <c r="E13" i="10"/>
  <c r="E10" i="10"/>
  <c r="E16" i="10"/>
  <c r="E17" i="10"/>
  <c r="E14" i="10"/>
  <c r="AR17" i="24"/>
  <c r="AS11" i="19" s="1"/>
  <c r="AZ12" i="20" s="1"/>
  <c r="G33" i="29"/>
  <c r="D4" i="13"/>
  <c r="E57" i="45"/>
  <c r="F57" i="45" s="1"/>
  <c r="G57" i="45" s="1"/>
  <c r="H57" i="45" s="1"/>
  <c r="I57" i="45" s="1"/>
  <c r="J57" i="45" s="1"/>
  <c r="BH17" i="24"/>
  <c r="BI11" i="19" s="1"/>
  <c r="BP12" i="20" s="1"/>
  <c r="F1" i="29"/>
  <c r="E4" i="29"/>
  <c r="G3" i="29"/>
  <c r="G2" i="29" s="1"/>
  <c r="F2" i="29"/>
  <c r="E28" i="46"/>
  <c r="E26" i="46"/>
  <c r="E30" i="46"/>
  <c r="E29" i="46"/>
  <c r="E25" i="46"/>
  <c r="E31" i="46"/>
  <c r="E27" i="46"/>
  <c r="E21" i="46"/>
  <c r="E12" i="46"/>
  <c r="E15" i="46"/>
  <c r="E22" i="46"/>
  <c r="E10" i="46"/>
  <c r="E11" i="46"/>
  <c r="E14" i="46"/>
  <c r="E13" i="46"/>
  <c r="E16" i="46"/>
  <c r="E17" i="46"/>
  <c r="E23" i="46"/>
  <c r="E18" i="46"/>
  <c r="E19" i="46"/>
  <c r="D9" i="46"/>
  <c r="D24" i="46"/>
  <c r="C16" i="33"/>
  <c r="D15" i="33"/>
  <c r="D21" i="33" s="1"/>
  <c r="D27" i="33" s="1"/>
  <c r="D14" i="33"/>
  <c r="D20" i="33" s="1"/>
  <c r="AQ5" i="29"/>
  <c r="BP2" i="29"/>
  <c r="BO2" i="19"/>
  <c r="E2" i="13"/>
  <c r="E1" i="13"/>
  <c r="F3" i="13"/>
  <c r="E2" i="33"/>
  <c r="F17" i="24"/>
  <c r="G11" i="19" s="1"/>
  <c r="N12" i="20" s="1"/>
  <c r="BE17" i="24"/>
  <c r="BF11" i="19" s="1"/>
  <c r="BM12" i="20" s="1"/>
  <c r="AK17" i="24"/>
  <c r="AL11" i="19" s="1"/>
  <c r="AS12" i="20" s="1"/>
  <c r="AV17" i="24"/>
  <c r="AX12" i="29" s="1"/>
  <c r="D20" i="46"/>
  <c r="AN17" i="24"/>
  <c r="AP12" i="29" s="1"/>
  <c r="BD17" i="24"/>
  <c r="BF12" i="29" s="1"/>
  <c r="AS17" i="24"/>
  <c r="AT11" i="19" s="1"/>
  <c r="BA12" i="20" s="1"/>
  <c r="BI17" i="24"/>
  <c r="BJ11" i="19" s="1"/>
  <c r="BQ12" i="20" s="1"/>
  <c r="E2" i="10"/>
  <c r="B17" i="24"/>
  <c r="D12" i="29" s="1"/>
  <c r="G17" i="24"/>
  <c r="H11" i="19" s="1"/>
  <c r="O12" i="20" s="1"/>
  <c r="F3" i="10"/>
  <c r="BO2" i="13"/>
  <c r="D4" i="33"/>
  <c r="AZ17" i="24"/>
  <c r="BA11" i="19" s="1"/>
  <c r="BH12" i="20" s="1"/>
  <c r="D4" i="10"/>
  <c r="AB17" i="24"/>
  <c r="AC11" i="19" s="1"/>
  <c r="AJ12" i="20" s="1"/>
  <c r="M17" i="24"/>
  <c r="O12" i="29" s="1"/>
  <c r="AC17" i="24"/>
  <c r="AD11" i="19" s="1"/>
  <c r="AK12" i="20" s="1"/>
  <c r="AJ17" i="24"/>
  <c r="AK11" i="19" s="1"/>
  <c r="AR12" i="20" s="1"/>
  <c r="AW17" i="24"/>
  <c r="AX11" i="19" s="1"/>
  <c r="BE12" i="20" s="1"/>
  <c r="I17" i="24"/>
  <c r="J11" i="19" s="1"/>
  <c r="Q12" i="20" s="1"/>
  <c r="Y17" i="24"/>
  <c r="AA12" i="29" s="1"/>
  <c r="AY17" i="24"/>
  <c r="AZ11" i="19" s="1"/>
  <c r="BG12" i="20" s="1"/>
  <c r="Q17" i="24"/>
  <c r="R11" i="19" s="1"/>
  <c r="Y12" i="20" s="1"/>
  <c r="AO17" i="24"/>
  <c r="AQ12" i="29" s="1"/>
  <c r="E1" i="10"/>
  <c r="E1" i="33"/>
  <c r="H17" i="24"/>
  <c r="J12" i="29" s="1"/>
  <c r="N17" i="24"/>
  <c r="O11" i="19" s="1"/>
  <c r="V12" i="20" s="1"/>
  <c r="V17" i="24"/>
  <c r="W11" i="19" s="1"/>
  <c r="AD12" i="20" s="1"/>
  <c r="AD17" i="24"/>
  <c r="AF12" i="29" s="1"/>
  <c r="AL17" i="24"/>
  <c r="AM11" i="19" s="1"/>
  <c r="AT12" i="20" s="1"/>
  <c r="AT17" i="24"/>
  <c r="AV12" i="29" s="1"/>
  <c r="BB17" i="24"/>
  <c r="BC11" i="19" s="1"/>
  <c r="BJ12" i="20" s="1"/>
  <c r="T17" i="24"/>
  <c r="U11" i="19" s="1"/>
  <c r="AB12" i="20" s="1"/>
  <c r="AG17" i="24"/>
  <c r="AH11" i="19" s="1"/>
  <c r="AO12" i="20" s="1"/>
  <c r="U17" i="24"/>
  <c r="V11" i="19" s="1"/>
  <c r="AC12" i="20" s="1"/>
  <c r="BA17" i="24"/>
  <c r="BB11" i="19" s="1"/>
  <c r="BI12" i="20" s="1"/>
  <c r="D17" i="24"/>
  <c r="E11" i="19" s="1"/>
  <c r="L12" i="20" s="1"/>
  <c r="K17" i="24"/>
  <c r="L11" i="19" s="1"/>
  <c r="S12" i="20" s="1"/>
  <c r="S17" i="24"/>
  <c r="T11" i="19" s="1"/>
  <c r="AA12" i="20" s="1"/>
  <c r="AA17" i="24"/>
  <c r="AB11" i="19" s="1"/>
  <c r="AI12" i="20" s="1"/>
  <c r="AI17" i="24"/>
  <c r="AJ11" i="19" s="1"/>
  <c r="AQ12" i="20" s="1"/>
  <c r="AQ17" i="24"/>
  <c r="AS12" i="29" s="1"/>
  <c r="BG17" i="24"/>
  <c r="BH11" i="19" s="1"/>
  <c r="BO12" i="20" s="1"/>
  <c r="L17" i="24"/>
  <c r="N12" i="29" s="1"/>
  <c r="X17" i="24"/>
  <c r="Z12" i="29" s="1"/>
  <c r="P17" i="24"/>
  <c r="R12" i="29" s="1"/>
  <c r="AF17" i="24"/>
  <c r="BN2" i="11"/>
  <c r="E2" i="46"/>
  <c r="C17" i="24"/>
  <c r="D11" i="19" s="1"/>
  <c r="K12" i="20" s="1"/>
  <c r="E17" i="24"/>
  <c r="G12" i="29" s="1"/>
  <c r="AM17" i="24"/>
  <c r="AN11" i="19" s="1"/>
  <c r="AU12" i="20" s="1"/>
  <c r="AU17" i="24"/>
  <c r="AW12" i="29" s="1"/>
  <c r="BC17" i="24"/>
  <c r="BE12" i="29" s="1"/>
  <c r="E1" i="46"/>
  <c r="F3" i="46"/>
  <c r="O17" i="24"/>
  <c r="Q12" i="29" s="1"/>
  <c r="W17" i="24"/>
  <c r="AE17" i="24"/>
  <c r="F3" i="33"/>
  <c r="F13" i="33" s="1"/>
  <c r="E14" i="33"/>
  <c r="E15" i="33"/>
  <c r="BJ16" i="24"/>
  <c r="BJ15" i="24"/>
  <c r="J17" i="24"/>
  <c r="L12" i="29" s="1"/>
  <c r="R17" i="24"/>
  <c r="S11" i="19" s="1"/>
  <c r="Z12" i="20" s="1"/>
  <c r="Z17" i="24"/>
  <c r="AB12" i="29" s="1"/>
  <c r="AH17" i="24"/>
  <c r="AJ12" i="29" s="1"/>
  <c r="AP17" i="24"/>
  <c r="AR12" i="29" s="1"/>
  <c r="AX17" i="24"/>
  <c r="AZ12" i="29" s="1"/>
  <c r="BF17" i="24"/>
  <c r="BH12" i="29" s="1"/>
  <c r="D4" i="46"/>
  <c r="E19" i="33"/>
  <c r="E25" i="33" s="1"/>
  <c r="BO2" i="46"/>
  <c r="BN111" i="46"/>
  <c r="C32" i="46"/>
  <c r="BO2" i="10"/>
  <c r="F2" i="45"/>
  <c r="F3" i="11"/>
  <c r="E1" i="11"/>
  <c r="E2" i="11"/>
  <c r="D4" i="11"/>
  <c r="L2" i="20"/>
  <c r="L1" i="20"/>
  <c r="M3" i="20"/>
  <c r="K4" i="20"/>
  <c r="F19" i="45"/>
  <c r="E2" i="19"/>
  <c r="F3" i="19"/>
  <c r="D4" i="19"/>
  <c r="E1" i="19"/>
  <c r="D2" i="25"/>
  <c r="E3" i="25"/>
  <c r="D1" i="25"/>
  <c r="C4" i="25"/>
  <c r="D25" i="33"/>
  <c r="E2" i="24"/>
  <c r="F3" i="24"/>
  <c r="D4" i="24"/>
  <c r="E1" i="24"/>
  <c r="C22" i="33"/>
  <c r="C26" i="13" s="1"/>
  <c r="C26" i="33"/>
  <c r="C28" i="33" s="1"/>
  <c r="C12" i="48" s="1"/>
  <c r="Z2" i="45"/>
  <c r="AA3" i="45"/>
  <c r="Y4" i="45"/>
  <c r="Z1" i="45"/>
  <c r="BO2" i="25" l="1"/>
  <c r="F8" i="10"/>
  <c r="F10" i="10"/>
  <c r="F13" i="10"/>
  <c r="F16" i="10"/>
  <c r="F9" i="10"/>
  <c r="F12" i="10"/>
  <c r="F15" i="10"/>
  <c r="F11" i="10"/>
  <c r="F17" i="10"/>
  <c r="F14" i="10"/>
  <c r="AT12" i="29"/>
  <c r="H3" i="29"/>
  <c r="I3" i="29" s="1"/>
  <c r="H33" i="29"/>
  <c r="F4" i="29"/>
  <c r="G1" i="29"/>
  <c r="BJ12" i="29"/>
  <c r="C63" i="13"/>
  <c r="G3" i="13"/>
  <c r="F25" i="46"/>
  <c r="F29" i="46"/>
  <c r="F28" i="46"/>
  <c r="F26" i="46"/>
  <c r="F27" i="46"/>
  <c r="F31" i="46"/>
  <c r="F30" i="46"/>
  <c r="F23" i="46"/>
  <c r="F11" i="46"/>
  <c r="F13" i="46"/>
  <c r="F16" i="46"/>
  <c r="F22" i="46"/>
  <c r="F10" i="46"/>
  <c r="F19" i="46"/>
  <c r="F15" i="46"/>
  <c r="F21" i="46"/>
  <c r="F14" i="46"/>
  <c r="F12" i="46"/>
  <c r="F17" i="46"/>
  <c r="F18" i="46"/>
  <c r="H12" i="29"/>
  <c r="F1" i="13"/>
  <c r="D16" i="33"/>
  <c r="D13" i="48" s="1"/>
  <c r="E9" i="46"/>
  <c r="F2" i="13"/>
  <c r="E24" i="46"/>
  <c r="E4" i="13"/>
  <c r="F1" i="10"/>
  <c r="AR5" i="29"/>
  <c r="BQ2" i="29"/>
  <c r="BP2" i="19"/>
  <c r="E4" i="10"/>
  <c r="E20" i="46"/>
  <c r="AU12" i="29"/>
  <c r="AO11" i="19"/>
  <c r="AV12" i="20" s="1"/>
  <c r="BG12" i="29"/>
  <c r="BE11" i="19"/>
  <c r="BL12" i="20" s="1"/>
  <c r="AW11" i="19"/>
  <c r="BD12" i="20" s="1"/>
  <c r="AM12" i="29"/>
  <c r="BK12" i="29"/>
  <c r="N11" i="19"/>
  <c r="U12" i="20" s="1"/>
  <c r="F11" i="19"/>
  <c r="M12" i="20" s="1"/>
  <c r="I12" i="29"/>
  <c r="C13" i="48"/>
  <c r="C10" i="48" s="1"/>
  <c r="AE12" i="29"/>
  <c r="BP2" i="13"/>
  <c r="F2" i="10"/>
  <c r="C11" i="19"/>
  <c r="J12" i="20" s="1"/>
  <c r="AD12" i="29"/>
  <c r="G3" i="10"/>
  <c r="AL12" i="29"/>
  <c r="BB12" i="29"/>
  <c r="Z11" i="19"/>
  <c r="AG12" i="20" s="1"/>
  <c r="BD12" i="29"/>
  <c r="AY12" i="29"/>
  <c r="AV11" i="19"/>
  <c r="BC12" i="20" s="1"/>
  <c r="AC12" i="29"/>
  <c r="BA12" i="29"/>
  <c r="K12" i="29"/>
  <c r="AE11" i="19"/>
  <c r="AL12" i="20" s="1"/>
  <c r="Q11" i="19"/>
  <c r="X12" i="20" s="1"/>
  <c r="AP11" i="19"/>
  <c r="AW12" i="20" s="1"/>
  <c r="S12" i="29"/>
  <c r="AU11" i="19"/>
  <c r="BB12" i="20" s="1"/>
  <c r="P12" i="29"/>
  <c r="V12" i="29"/>
  <c r="AR11" i="19"/>
  <c r="AY12" i="20" s="1"/>
  <c r="X12" i="29"/>
  <c r="M11" i="19"/>
  <c r="T12" i="20" s="1"/>
  <c r="BI12" i="29"/>
  <c r="AK12" i="29"/>
  <c r="I11" i="19"/>
  <c r="P12" i="20" s="1"/>
  <c r="M12" i="29"/>
  <c r="AN12" i="29"/>
  <c r="BG11" i="19"/>
  <c r="BN12" i="20" s="1"/>
  <c r="F12" i="29"/>
  <c r="BC12" i="29"/>
  <c r="AA11" i="19"/>
  <c r="AH12" i="20" s="1"/>
  <c r="Y11" i="19"/>
  <c r="AF12" i="20" s="1"/>
  <c r="AI12" i="29"/>
  <c r="U12" i="29"/>
  <c r="W12" i="29"/>
  <c r="AY11" i="19"/>
  <c r="BF12" i="20" s="1"/>
  <c r="E12" i="29"/>
  <c r="AH12" i="29"/>
  <c r="AG11" i="19"/>
  <c r="AN12" i="20" s="1"/>
  <c r="BD11" i="19"/>
  <c r="BK12" i="20" s="1"/>
  <c r="AO12" i="29"/>
  <c r="BO2" i="11"/>
  <c r="F2" i="46"/>
  <c r="F1" i="46"/>
  <c r="BJ17" i="24"/>
  <c r="K11" i="19"/>
  <c r="R12" i="20" s="1"/>
  <c r="P11" i="19"/>
  <c r="W12" i="20" s="1"/>
  <c r="D22" i="33"/>
  <c r="AI11" i="19"/>
  <c r="AP12" i="20" s="1"/>
  <c r="T12" i="29"/>
  <c r="E21" i="33"/>
  <c r="E27" i="33" s="1"/>
  <c r="AF11" i="19"/>
  <c r="AM12" i="20" s="1"/>
  <c r="AG12" i="29"/>
  <c r="G3" i="46"/>
  <c r="E4" i="46"/>
  <c r="X11" i="19"/>
  <c r="AE12" i="20" s="1"/>
  <c r="Y12" i="29"/>
  <c r="AQ11" i="19"/>
  <c r="AX12" i="20" s="1"/>
  <c r="E16" i="33"/>
  <c r="E13" i="48" s="1"/>
  <c r="F14" i="33"/>
  <c r="G3" i="33"/>
  <c r="G13" i="33" s="1"/>
  <c r="F2" i="33"/>
  <c r="F15" i="33"/>
  <c r="F1" i="33"/>
  <c r="E4" i="33"/>
  <c r="BP2" i="46"/>
  <c r="BO111" i="46"/>
  <c r="BP2" i="10"/>
  <c r="G2" i="45"/>
  <c r="G3" i="11"/>
  <c r="F2" i="11"/>
  <c r="F1" i="11"/>
  <c r="E4" i="11"/>
  <c r="D32" i="46"/>
  <c r="G19" i="45"/>
  <c r="M2" i="20"/>
  <c r="L4" i="20"/>
  <c r="N3" i="20"/>
  <c r="M1" i="20"/>
  <c r="F2" i="19"/>
  <c r="G3" i="19"/>
  <c r="E4" i="19"/>
  <c r="F1" i="19"/>
  <c r="E2" i="25"/>
  <c r="F3" i="25"/>
  <c r="E1" i="25"/>
  <c r="D4" i="25"/>
  <c r="AA2" i="45"/>
  <c r="AB3" i="45"/>
  <c r="Z4" i="45"/>
  <c r="AA1" i="45"/>
  <c r="H2" i="29"/>
  <c r="D26" i="33"/>
  <c r="D28" i="33" s="1"/>
  <c r="D12" i="48" s="1"/>
  <c r="B22" i="25"/>
  <c r="E4" i="24"/>
  <c r="F1" i="24"/>
  <c r="G3" i="24"/>
  <c r="F2" i="24"/>
  <c r="E20" i="33"/>
  <c r="BP2" i="25" l="1"/>
  <c r="G15" i="10"/>
  <c r="G8" i="10"/>
  <c r="G11" i="10"/>
  <c r="G14" i="10"/>
  <c r="G17" i="10"/>
  <c r="G10" i="10"/>
  <c r="G13" i="10"/>
  <c r="G16" i="10"/>
  <c r="G9" i="10"/>
  <c r="G12" i="10"/>
  <c r="G4" i="29"/>
  <c r="H1" i="29"/>
  <c r="F4" i="13"/>
  <c r="I33" i="29"/>
  <c r="G1" i="13"/>
  <c r="H3" i="13"/>
  <c r="G2" i="13"/>
  <c r="G26" i="46"/>
  <c r="G25" i="46"/>
  <c r="G30" i="46"/>
  <c r="G29" i="46"/>
  <c r="G27" i="46"/>
  <c r="G31" i="46"/>
  <c r="G28" i="46"/>
  <c r="G12" i="46"/>
  <c r="G14" i="46"/>
  <c r="G17" i="46"/>
  <c r="G23" i="46"/>
  <c r="G11" i="46"/>
  <c r="G22" i="46"/>
  <c r="G10" i="46"/>
  <c r="G18" i="46"/>
  <c r="G19" i="46"/>
  <c r="G15" i="46"/>
  <c r="G21" i="46"/>
  <c r="G13" i="46"/>
  <c r="G16" i="46"/>
  <c r="F9" i="46"/>
  <c r="F24" i="46"/>
  <c r="H3" i="10"/>
  <c r="AS5" i="29"/>
  <c r="BR2" i="29"/>
  <c r="BQ2" i="19"/>
  <c r="BQ2" i="13"/>
  <c r="G2" i="10"/>
  <c r="D10" i="48"/>
  <c r="F20" i="46"/>
  <c r="C22" i="25"/>
  <c r="D26" i="13"/>
  <c r="F4" i="10"/>
  <c r="G1" i="10"/>
  <c r="BQ2" i="10"/>
  <c r="G1" i="46"/>
  <c r="E32" i="46"/>
  <c r="F4" i="46"/>
  <c r="H3" i="46"/>
  <c r="BP2" i="11"/>
  <c r="E22" i="33"/>
  <c r="F21" i="33"/>
  <c r="F27" i="33" s="1"/>
  <c r="G2" i="46"/>
  <c r="F16" i="33"/>
  <c r="F13" i="48" s="1"/>
  <c r="G15" i="33"/>
  <c r="G2" i="33"/>
  <c r="G1" i="33"/>
  <c r="G14" i="33"/>
  <c r="H3" i="33"/>
  <c r="H13" i="33" s="1"/>
  <c r="F4" i="33"/>
  <c r="F19" i="33"/>
  <c r="F25" i="33" s="1"/>
  <c r="K21" i="20"/>
  <c r="BQ2" i="46"/>
  <c r="BP111" i="46"/>
  <c r="H2" i="45"/>
  <c r="H3" i="11"/>
  <c r="G1" i="11"/>
  <c r="G2" i="11"/>
  <c r="F4" i="11"/>
  <c r="N2" i="20"/>
  <c r="M4" i="20"/>
  <c r="O3" i="20"/>
  <c r="N1" i="20"/>
  <c r="H19" i="45"/>
  <c r="G2" i="19"/>
  <c r="H3" i="19"/>
  <c r="G1" i="19"/>
  <c r="F4" i="19"/>
  <c r="F2" i="25"/>
  <c r="G3" i="25"/>
  <c r="E4" i="25"/>
  <c r="F1" i="25"/>
  <c r="F20" i="33"/>
  <c r="AB2" i="45"/>
  <c r="AC3" i="45"/>
  <c r="AA4" i="45"/>
  <c r="AB1" i="45"/>
  <c r="G2" i="24"/>
  <c r="H3" i="24"/>
  <c r="F4" i="24"/>
  <c r="G1" i="24"/>
  <c r="E26" i="33"/>
  <c r="E28" i="33" s="1"/>
  <c r="E12" i="48" s="1"/>
  <c r="E10" i="48" s="1"/>
  <c r="J3" i="29"/>
  <c r="I2" i="29"/>
  <c r="I1" i="29"/>
  <c r="H4" i="29"/>
  <c r="H12" i="10" l="1"/>
  <c r="H15" i="10"/>
  <c r="H8" i="10"/>
  <c r="H11" i="10"/>
  <c r="H14" i="10"/>
  <c r="H17" i="10"/>
  <c r="H16" i="10"/>
  <c r="H10" i="10"/>
  <c r="H13" i="10"/>
  <c r="H9" i="10"/>
  <c r="H1" i="13"/>
  <c r="G4" i="13"/>
  <c r="I3" i="13"/>
  <c r="H2" i="13"/>
  <c r="D63" i="13"/>
  <c r="I3" i="10"/>
  <c r="H2" i="10"/>
  <c r="H27" i="46"/>
  <c r="H26" i="46"/>
  <c r="H31" i="46"/>
  <c r="H29" i="46"/>
  <c r="H25" i="46"/>
  <c r="H28" i="46"/>
  <c r="H30" i="46"/>
  <c r="H21" i="46"/>
  <c r="H18" i="46"/>
  <c r="H23" i="46"/>
  <c r="H11" i="46"/>
  <c r="H15" i="46"/>
  <c r="H16" i="46"/>
  <c r="H10" i="46"/>
  <c r="H19" i="46"/>
  <c r="H14" i="46"/>
  <c r="H22" i="46"/>
  <c r="H13" i="46"/>
  <c r="H12" i="46"/>
  <c r="H17" i="46"/>
  <c r="G9" i="46"/>
  <c r="H1" i="10"/>
  <c r="G4" i="10"/>
  <c r="G24" i="46"/>
  <c r="AT5" i="29"/>
  <c r="G20" i="46"/>
  <c r="D22" i="25"/>
  <c r="E26" i="13"/>
  <c r="E63" i="13" s="1"/>
  <c r="H2" i="46"/>
  <c r="G4" i="46"/>
  <c r="H1" i="46"/>
  <c r="M21" i="20"/>
  <c r="F32" i="46"/>
  <c r="I3" i="46"/>
  <c r="G20" i="33"/>
  <c r="G26" i="33" s="1"/>
  <c r="G21" i="33"/>
  <c r="G27" i="33" s="1"/>
  <c r="H15" i="33"/>
  <c r="H1" i="33"/>
  <c r="G4" i="33"/>
  <c r="H14" i="33"/>
  <c r="I3" i="33"/>
  <c r="I13" i="33" s="1"/>
  <c r="H2" i="33"/>
  <c r="J21" i="20"/>
  <c r="J22" i="20" s="1"/>
  <c r="K22" i="20" s="1"/>
  <c r="G19" i="33"/>
  <c r="G25" i="33" s="1"/>
  <c r="G16" i="33"/>
  <c r="G13" i="48" s="1"/>
  <c r="L21" i="20"/>
  <c r="BQ111" i="46"/>
  <c r="I2" i="45"/>
  <c r="I3" i="11"/>
  <c r="H2" i="11"/>
  <c r="H1" i="11"/>
  <c r="G4" i="11"/>
  <c r="F26" i="33"/>
  <c r="F28" i="33" s="1"/>
  <c r="F12" i="48" s="1"/>
  <c r="F10" i="48" s="1"/>
  <c r="O2" i="20"/>
  <c r="N4" i="20"/>
  <c r="N21" i="20" s="1"/>
  <c r="P3" i="20"/>
  <c r="O1" i="20"/>
  <c r="I19" i="45"/>
  <c r="H2" i="19"/>
  <c r="I3" i="19"/>
  <c r="G4" i="19"/>
  <c r="H1" i="19"/>
  <c r="G2" i="25"/>
  <c r="H3" i="25"/>
  <c r="G1" i="25"/>
  <c r="F4" i="25"/>
  <c r="I4" i="29"/>
  <c r="K3" i="29"/>
  <c r="J2" i="29"/>
  <c r="J1" i="29"/>
  <c r="I3" i="24"/>
  <c r="H2" i="24"/>
  <c r="G4" i="24"/>
  <c r="H1" i="24"/>
  <c r="AC2" i="45"/>
  <c r="AD3" i="45"/>
  <c r="AC1" i="45"/>
  <c r="AB4" i="45"/>
  <c r="F22" i="33"/>
  <c r="I9" i="10" l="1"/>
  <c r="I12" i="10"/>
  <c r="I15" i="10"/>
  <c r="I8" i="10"/>
  <c r="I16" i="10"/>
  <c r="I10" i="10"/>
  <c r="I13" i="10"/>
  <c r="I17" i="10"/>
  <c r="I11" i="10"/>
  <c r="I14" i="10"/>
  <c r="H4" i="10"/>
  <c r="H4" i="13"/>
  <c r="J3" i="13"/>
  <c r="J3" i="10"/>
  <c r="I2" i="13"/>
  <c r="I1" i="13"/>
  <c r="I2" i="10"/>
  <c r="I1" i="10"/>
  <c r="I28" i="46"/>
  <c r="I27" i="46"/>
  <c r="I25" i="46"/>
  <c r="I30" i="46"/>
  <c r="I26" i="46"/>
  <c r="I29" i="46"/>
  <c r="I31" i="46"/>
  <c r="I19" i="46"/>
  <c r="I12" i="46"/>
  <c r="I23" i="46"/>
  <c r="I11" i="46"/>
  <c r="I13" i="46"/>
  <c r="I16" i="46"/>
  <c r="I17" i="46"/>
  <c r="I10" i="46"/>
  <c r="I18" i="46"/>
  <c r="I15" i="46"/>
  <c r="I21" i="46"/>
  <c r="I14" i="46"/>
  <c r="I22" i="46"/>
  <c r="H9" i="46"/>
  <c r="H24" i="46"/>
  <c r="I1" i="46"/>
  <c r="AU5" i="29"/>
  <c r="H20" i="46"/>
  <c r="E22" i="25"/>
  <c r="F26" i="13"/>
  <c r="F63" i="13" s="1"/>
  <c r="J3" i="46"/>
  <c r="I2" i="46"/>
  <c r="H4" i="46"/>
  <c r="G32" i="46"/>
  <c r="H20" i="33"/>
  <c r="H26" i="33" s="1"/>
  <c r="H21" i="33"/>
  <c r="H27" i="33" s="1"/>
  <c r="G28" i="33"/>
  <c r="G12" i="48" s="1"/>
  <c r="G22" i="33"/>
  <c r="L22" i="20"/>
  <c r="M22" i="20" s="1"/>
  <c r="N22" i="20" s="1"/>
  <c r="I14" i="33"/>
  <c r="J3" i="33"/>
  <c r="J13" i="33" s="1"/>
  <c r="I1" i="33"/>
  <c r="I15" i="33"/>
  <c r="I2" i="33"/>
  <c r="H4" i="33"/>
  <c r="H19" i="33"/>
  <c r="H25" i="33" s="1"/>
  <c r="H16" i="33"/>
  <c r="H13" i="48" s="1"/>
  <c r="J2" i="45"/>
  <c r="J3" i="11"/>
  <c r="I1" i="11"/>
  <c r="I2" i="11"/>
  <c r="H4" i="11"/>
  <c r="J19" i="45"/>
  <c r="P2" i="20"/>
  <c r="Q3" i="20"/>
  <c r="O4" i="20"/>
  <c r="O21" i="20" s="1"/>
  <c r="P1" i="20"/>
  <c r="I2" i="19"/>
  <c r="J3" i="19"/>
  <c r="I1" i="19"/>
  <c r="H4" i="19"/>
  <c r="H2" i="25"/>
  <c r="I3" i="25"/>
  <c r="G4" i="25"/>
  <c r="H1" i="25"/>
  <c r="L3" i="29"/>
  <c r="K2" i="29"/>
  <c r="J4" i="29"/>
  <c r="K1" i="29"/>
  <c r="AD2" i="45"/>
  <c r="AE3" i="45"/>
  <c r="AC4" i="45"/>
  <c r="AD1" i="45"/>
  <c r="I2" i="24"/>
  <c r="J3" i="24"/>
  <c r="H4" i="24"/>
  <c r="I1" i="24"/>
  <c r="J9" i="10" l="1"/>
  <c r="J12" i="10"/>
  <c r="J8" i="10"/>
  <c r="J13" i="10"/>
  <c r="J16" i="10"/>
  <c r="J10" i="10"/>
  <c r="J15" i="10"/>
  <c r="J17" i="10"/>
  <c r="J11" i="10"/>
  <c r="J14" i="10"/>
  <c r="J2" i="10"/>
  <c r="J1" i="10"/>
  <c r="I4" i="10"/>
  <c r="K3" i="10"/>
  <c r="K3" i="13"/>
  <c r="J2" i="13"/>
  <c r="I4" i="13"/>
  <c r="J1" i="13"/>
  <c r="J29" i="46"/>
  <c r="J28" i="46"/>
  <c r="J25" i="46"/>
  <c r="J27" i="46"/>
  <c r="J30" i="46"/>
  <c r="J31" i="46"/>
  <c r="J26" i="46"/>
  <c r="J22" i="46"/>
  <c r="J10" i="46"/>
  <c r="J21" i="46"/>
  <c r="J12" i="46"/>
  <c r="J14" i="46"/>
  <c r="J17" i="46"/>
  <c r="J23" i="46"/>
  <c r="J11" i="46"/>
  <c r="J18" i="46"/>
  <c r="J19" i="46"/>
  <c r="J15" i="46"/>
  <c r="J13" i="46"/>
  <c r="J16" i="46"/>
  <c r="I9" i="46"/>
  <c r="I24" i="46"/>
  <c r="J2" i="46"/>
  <c r="AV5" i="29"/>
  <c r="J1" i="46"/>
  <c r="I20" i="46"/>
  <c r="G10" i="48"/>
  <c r="F22" i="25"/>
  <c r="G26" i="13"/>
  <c r="I4" i="46"/>
  <c r="K3" i="46"/>
  <c r="I21" i="33"/>
  <c r="I27" i="33" s="1"/>
  <c r="H32" i="46"/>
  <c r="I20" i="33"/>
  <c r="I26" i="33" s="1"/>
  <c r="H28" i="33"/>
  <c r="H12" i="48" s="1"/>
  <c r="H10" i="48" s="1"/>
  <c r="H22" i="33"/>
  <c r="I19" i="33"/>
  <c r="I16" i="33"/>
  <c r="I13" i="48" s="1"/>
  <c r="J15" i="33"/>
  <c r="J1" i="33"/>
  <c r="I4" i="33"/>
  <c r="J14" i="33"/>
  <c r="K3" i="33"/>
  <c r="K13" i="33" s="1"/>
  <c r="J2" i="33"/>
  <c r="O22" i="20"/>
  <c r="K3" i="11"/>
  <c r="J2" i="11"/>
  <c r="J1" i="11"/>
  <c r="I4" i="11"/>
  <c r="Q2" i="20"/>
  <c r="P4" i="20"/>
  <c r="P21" i="20" s="1"/>
  <c r="R3" i="20"/>
  <c r="Q1" i="20"/>
  <c r="J2" i="19"/>
  <c r="K3" i="19"/>
  <c r="I4" i="19"/>
  <c r="J1" i="19"/>
  <c r="I2" i="25"/>
  <c r="J3" i="25"/>
  <c r="I1" i="25"/>
  <c r="H4" i="25"/>
  <c r="K3" i="24"/>
  <c r="J2" i="24"/>
  <c r="I4" i="24"/>
  <c r="J1" i="24"/>
  <c r="AE2" i="45"/>
  <c r="AF3" i="45"/>
  <c r="AD4" i="45"/>
  <c r="AE1" i="45"/>
  <c r="K4" i="29"/>
  <c r="M3" i="29"/>
  <c r="L2" i="29"/>
  <c r="L1" i="29"/>
  <c r="K2" i="10" l="1"/>
  <c r="K9" i="10"/>
  <c r="K11" i="10"/>
  <c r="K13" i="10"/>
  <c r="K8" i="10"/>
  <c r="K16" i="10"/>
  <c r="K10" i="10"/>
  <c r="K12" i="10"/>
  <c r="K14" i="10"/>
  <c r="K15" i="10"/>
  <c r="K17" i="10"/>
  <c r="K1" i="10"/>
  <c r="L3" i="10"/>
  <c r="J4" i="10"/>
  <c r="L3" i="13"/>
  <c r="K1" i="13"/>
  <c r="K2" i="13"/>
  <c r="J4" i="13"/>
  <c r="G63" i="13"/>
  <c r="K30" i="46"/>
  <c r="K29" i="46"/>
  <c r="K26" i="46"/>
  <c r="K28" i="46"/>
  <c r="K31" i="46"/>
  <c r="K25" i="46"/>
  <c r="K27" i="46"/>
  <c r="K21" i="46"/>
  <c r="K18" i="46"/>
  <c r="K22" i="46"/>
  <c r="K12" i="46"/>
  <c r="K13" i="46"/>
  <c r="K23" i="46"/>
  <c r="K16" i="46"/>
  <c r="K17" i="46"/>
  <c r="K10" i="46"/>
  <c r="K11" i="46"/>
  <c r="K19" i="46"/>
  <c r="K15" i="46"/>
  <c r="K14" i="46"/>
  <c r="J9" i="46"/>
  <c r="J24" i="46"/>
  <c r="K1" i="46"/>
  <c r="AW5" i="29"/>
  <c r="L3" i="46"/>
  <c r="K2" i="46"/>
  <c r="J4" i="46"/>
  <c r="J20" i="46"/>
  <c r="G22" i="25"/>
  <c r="H26" i="13"/>
  <c r="H63" i="13" s="1"/>
  <c r="J20" i="33"/>
  <c r="J26" i="33" s="1"/>
  <c r="J21" i="33"/>
  <c r="J27" i="33" s="1"/>
  <c r="I32" i="46"/>
  <c r="J16" i="33"/>
  <c r="J13" i="48" s="1"/>
  <c r="J19" i="33"/>
  <c r="I25" i="33"/>
  <c r="I28" i="33" s="1"/>
  <c r="I12" i="48" s="1"/>
  <c r="I10" i="48" s="1"/>
  <c r="I22" i="33"/>
  <c r="K15" i="33"/>
  <c r="K2" i="33"/>
  <c r="K1" i="33"/>
  <c r="K14" i="33"/>
  <c r="L3" i="33"/>
  <c r="L13" i="33" s="1"/>
  <c r="J4" i="33"/>
  <c r="P22" i="20"/>
  <c r="L3" i="11"/>
  <c r="K1" i="11"/>
  <c r="K2" i="11"/>
  <c r="J4" i="11"/>
  <c r="R2" i="20"/>
  <c r="Q4" i="20"/>
  <c r="Q21" i="20" s="1"/>
  <c r="S3" i="20"/>
  <c r="R1" i="20"/>
  <c r="K2" i="19"/>
  <c r="L3" i="19"/>
  <c r="K1" i="19"/>
  <c r="J4" i="19"/>
  <c r="J2" i="25"/>
  <c r="K3" i="25"/>
  <c r="I4" i="25"/>
  <c r="J1" i="25"/>
  <c r="N3" i="29"/>
  <c r="M2" i="29"/>
  <c r="M1" i="29"/>
  <c r="L4" i="29"/>
  <c r="AF2" i="45"/>
  <c r="AG3" i="45"/>
  <c r="AE4" i="45"/>
  <c r="AF1" i="45"/>
  <c r="K2" i="24"/>
  <c r="L3" i="24"/>
  <c r="J4" i="24"/>
  <c r="K1" i="24"/>
  <c r="M3" i="10" l="1"/>
  <c r="M1" i="10" s="1"/>
  <c r="L16" i="10"/>
  <c r="L11" i="10"/>
  <c r="L8" i="10"/>
  <c r="L13" i="10"/>
  <c r="L14" i="10"/>
  <c r="L9" i="10"/>
  <c r="L10" i="10"/>
  <c r="L17" i="10"/>
  <c r="L12" i="10"/>
  <c r="L15" i="10"/>
  <c r="K4" i="10"/>
  <c r="L2" i="10"/>
  <c r="L1" i="10"/>
  <c r="L2" i="13"/>
  <c r="K4" i="13"/>
  <c r="L1" i="13"/>
  <c r="M3" i="13"/>
  <c r="L30" i="46"/>
  <c r="L27" i="46"/>
  <c r="L28" i="46"/>
  <c r="L31" i="46"/>
  <c r="L26" i="46"/>
  <c r="L25" i="46"/>
  <c r="L29" i="46"/>
  <c r="L23" i="46"/>
  <c r="L11" i="46"/>
  <c r="L22" i="46"/>
  <c r="L10" i="46"/>
  <c r="L21" i="46"/>
  <c r="L19" i="46"/>
  <c r="L14" i="46"/>
  <c r="L15" i="46"/>
  <c r="L12" i="46"/>
  <c r="L13" i="46"/>
  <c r="L16" i="46"/>
  <c r="L17" i="46"/>
  <c r="L18" i="46"/>
  <c r="K9" i="46"/>
  <c r="K24" i="46"/>
  <c r="L1" i="46"/>
  <c r="M3" i="46"/>
  <c r="L2" i="46"/>
  <c r="K4" i="46"/>
  <c r="AX5" i="29"/>
  <c r="J32" i="46"/>
  <c r="K20" i="46"/>
  <c r="K21" i="33"/>
  <c r="K27" i="33" s="1"/>
  <c r="H22" i="25"/>
  <c r="I26" i="13"/>
  <c r="I63" i="13" s="1"/>
  <c r="K20" i="33"/>
  <c r="K26" i="33" s="1"/>
  <c r="L15" i="33"/>
  <c r="L1" i="33"/>
  <c r="K4" i="33"/>
  <c r="L14" i="33"/>
  <c r="M3" i="33"/>
  <c r="M13" i="33" s="1"/>
  <c r="L2" i="33"/>
  <c r="J25" i="33"/>
  <c r="J28" i="33" s="1"/>
  <c r="J12" i="48" s="1"/>
  <c r="J10" i="48" s="1"/>
  <c r="J22" i="33"/>
  <c r="Q22" i="20"/>
  <c r="K19" i="33"/>
  <c r="K16" i="33"/>
  <c r="K13" i="48" s="1"/>
  <c r="M3" i="11"/>
  <c r="L2" i="11"/>
  <c r="L1" i="11"/>
  <c r="K4" i="11"/>
  <c r="S2" i="20"/>
  <c r="R4" i="20"/>
  <c r="R21" i="20" s="1"/>
  <c r="T3" i="20"/>
  <c r="S1" i="20"/>
  <c r="L2" i="19"/>
  <c r="M3" i="19"/>
  <c r="K4" i="19"/>
  <c r="L1" i="19"/>
  <c r="K2" i="25"/>
  <c r="L3" i="25"/>
  <c r="J4" i="25"/>
  <c r="K1" i="25"/>
  <c r="AG2" i="45"/>
  <c r="AH3" i="45"/>
  <c r="AG1" i="45"/>
  <c r="AF4" i="45"/>
  <c r="M3" i="24"/>
  <c r="L2" i="24"/>
  <c r="K4" i="24"/>
  <c r="L1" i="24"/>
  <c r="O3" i="29"/>
  <c r="N2" i="29"/>
  <c r="N1" i="29"/>
  <c r="M4" i="29"/>
  <c r="N3" i="13" l="1"/>
  <c r="L4" i="10"/>
  <c r="M2" i="10"/>
  <c r="N3" i="10"/>
  <c r="N12" i="10" s="1"/>
  <c r="M13" i="10"/>
  <c r="M16" i="10"/>
  <c r="M14" i="10"/>
  <c r="M8" i="10"/>
  <c r="M11" i="10"/>
  <c r="M10" i="10"/>
  <c r="M9" i="10"/>
  <c r="M17" i="10"/>
  <c r="M12" i="10"/>
  <c r="M15" i="10"/>
  <c r="M2" i="13"/>
  <c r="M1" i="13"/>
  <c r="L4" i="13"/>
  <c r="M28" i="46"/>
  <c r="M26" i="46"/>
  <c r="M29" i="46"/>
  <c r="M25" i="46"/>
  <c r="M30" i="46"/>
  <c r="M27" i="46"/>
  <c r="M31" i="46"/>
  <c r="M12" i="46"/>
  <c r="M15" i="46"/>
  <c r="M22" i="46"/>
  <c r="M10" i="46"/>
  <c r="M21" i="46"/>
  <c r="M14" i="46"/>
  <c r="M23" i="46"/>
  <c r="M13" i="46"/>
  <c r="M16" i="46"/>
  <c r="M17" i="46"/>
  <c r="M11" i="46"/>
  <c r="M18" i="46"/>
  <c r="M19" i="46"/>
  <c r="L9" i="46"/>
  <c r="L24" i="46"/>
  <c r="L20" i="46"/>
  <c r="M2" i="46"/>
  <c r="L4" i="46"/>
  <c r="M1" i="46"/>
  <c r="N3" i="46"/>
  <c r="AY5" i="29"/>
  <c r="F113" i="46"/>
  <c r="K32" i="46"/>
  <c r="L21" i="33"/>
  <c r="L27" i="33" s="1"/>
  <c r="L20" i="33"/>
  <c r="L26" i="33" s="1"/>
  <c r="I22" i="25"/>
  <c r="J26" i="13"/>
  <c r="J63" i="13" s="1"/>
  <c r="D113" i="46"/>
  <c r="R22" i="20"/>
  <c r="E113" i="46"/>
  <c r="M15" i="33"/>
  <c r="M2" i="33"/>
  <c r="M1" i="33"/>
  <c r="M14" i="33"/>
  <c r="N3" i="33"/>
  <c r="N13" i="33" s="1"/>
  <c r="L4" i="33"/>
  <c r="K25" i="33"/>
  <c r="K28" i="33" s="1"/>
  <c r="K12" i="48" s="1"/>
  <c r="K22" i="33"/>
  <c r="L16" i="33"/>
  <c r="L13" i="48" s="1"/>
  <c r="L19" i="33"/>
  <c r="L113" i="46"/>
  <c r="J113" i="46"/>
  <c r="H112" i="46"/>
  <c r="L112" i="46"/>
  <c r="J112" i="46"/>
  <c r="H113" i="46"/>
  <c r="F112" i="46"/>
  <c r="C112" i="46"/>
  <c r="E112" i="46"/>
  <c r="D112" i="46"/>
  <c r="G112" i="46"/>
  <c r="K112" i="46"/>
  <c r="G113" i="46"/>
  <c r="I112" i="46"/>
  <c r="C113" i="46"/>
  <c r="I113" i="46"/>
  <c r="K113" i="46"/>
  <c r="N3" i="11"/>
  <c r="M1" i="11"/>
  <c r="M2" i="11"/>
  <c r="L4" i="11"/>
  <c r="T2" i="20"/>
  <c r="U3" i="20"/>
  <c r="S4" i="20"/>
  <c r="S21" i="20" s="1"/>
  <c r="T1" i="20"/>
  <c r="M2" i="19"/>
  <c r="N3" i="19"/>
  <c r="M1" i="19"/>
  <c r="L4" i="19"/>
  <c r="N2" i="13"/>
  <c r="O3" i="13"/>
  <c r="N1" i="13"/>
  <c r="M4" i="13"/>
  <c r="L2" i="25"/>
  <c r="M3" i="25"/>
  <c r="K4" i="25"/>
  <c r="L1" i="25"/>
  <c r="AH2" i="45"/>
  <c r="AI3" i="45"/>
  <c r="AG4" i="45"/>
  <c r="AH1" i="45"/>
  <c r="N2" i="10"/>
  <c r="P3" i="29"/>
  <c r="O2" i="29"/>
  <c r="N4" i="29"/>
  <c r="O1" i="29"/>
  <c r="L4" i="24"/>
  <c r="M1" i="24"/>
  <c r="N3" i="24"/>
  <c r="M2" i="24"/>
  <c r="N16" i="10" l="1"/>
  <c r="N13" i="10"/>
  <c r="N15" i="10"/>
  <c r="N14" i="10"/>
  <c r="N17" i="10"/>
  <c r="N11" i="10"/>
  <c r="N9" i="10"/>
  <c r="N8" i="10"/>
  <c r="N10" i="10"/>
  <c r="N1" i="10"/>
  <c r="O3" i="10"/>
  <c r="O14" i="10" s="1"/>
  <c r="M4" i="10"/>
  <c r="O10" i="10"/>
  <c r="O13" i="10"/>
  <c r="O17" i="10"/>
  <c r="O11" i="10"/>
  <c r="O16" i="10"/>
  <c r="O9" i="10"/>
  <c r="N25" i="46"/>
  <c r="N29" i="46"/>
  <c r="N27" i="46"/>
  <c r="N31" i="46"/>
  <c r="N30" i="46"/>
  <c r="N28" i="46"/>
  <c r="N26" i="46"/>
  <c r="N23" i="46"/>
  <c r="N11" i="46"/>
  <c r="N13" i="46"/>
  <c r="N16" i="46"/>
  <c r="N22" i="46"/>
  <c r="N10" i="46"/>
  <c r="N15" i="46"/>
  <c r="N12" i="46"/>
  <c r="N14" i="46"/>
  <c r="N17" i="46"/>
  <c r="N21" i="46"/>
  <c r="N18" i="46"/>
  <c r="N19" i="46"/>
  <c r="M9" i="46"/>
  <c r="M113" i="46"/>
  <c r="M37" i="46" s="1"/>
  <c r="G49" i="46"/>
  <c r="E49" i="46"/>
  <c r="F49" i="46"/>
  <c r="C49" i="46"/>
  <c r="D49" i="46"/>
  <c r="K49" i="46"/>
  <c r="J49" i="46"/>
  <c r="I49" i="46"/>
  <c r="L49" i="46"/>
  <c r="M24" i="46"/>
  <c r="M112" i="46"/>
  <c r="M20" i="46"/>
  <c r="N1" i="46"/>
  <c r="N2" i="46"/>
  <c r="M4" i="46"/>
  <c r="L32" i="46"/>
  <c r="O3" i="46"/>
  <c r="F52" i="46"/>
  <c r="AZ5" i="29"/>
  <c r="M21" i="33"/>
  <c r="M27" i="33" s="1"/>
  <c r="M20" i="33"/>
  <c r="M26" i="33" s="1"/>
  <c r="F48" i="46"/>
  <c r="F55" i="46"/>
  <c r="F47" i="46"/>
  <c r="F72" i="46" s="1"/>
  <c r="F39" i="46"/>
  <c r="F64" i="46" s="1"/>
  <c r="F90" i="46" s="1"/>
  <c r="F37" i="46"/>
  <c r="F62" i="46" s="1"/>
  <c r="F88" i="46" s="1"/>
  <c r="F38" i="46"/>
  <c r="F63" i="46" s="1"/>
  <c r="F89" i="46" s="1"/>
  <c r="F41" i="46"/>
  <c r="F66" i="46" s="1"/>
  <c r="F92" i="46" s="1"/>
  <c r="F45" i="46"/>
  <c r="F70" i="46" s="1"/>
  <c r="F96" i="46" s="1"/>
  <c r="F43" i="46"/>
  <c r="F68" i="46" s="1"/>
  <c r="F94" i="46" s="1"/>
  <c r="F44" i="46"/>
  <c r="F69" i="46" s="1"/>
  <c r="F95" i="46" s="1"/>
  <c r="F42" i="46"/>
  <c r="F67" i="46" s="1"/>
  <c r="F93" i="46" s="1"/>
  <c r="F36" i="46"/>
  <c r="F61" i="46" s="1"/>
  <c r="F87" i="46" s="1"/>
  <c r="F57" i="46"/>
  <c r="F54" i="46"/>
  <c r="F40" i="46"/>
  <c r="F65" i="46" s="1"/>
  <c r="F91" i="46" s="1"/>
  <c r="E39" i="46"/>
  <c r="E64" i="46" s="1"/>
  <c r="E90" i="46" s="1"/>
  <c r="F53" i="46"/>
  <c r="F56" i="46"/>
  <c r="F51" i="46"/>
  <c r="H39" i="46"/>
  <c r="H64" i="46" s="1"/>
  <c r="H90" i="46" s="1"/>
  <c r="H49" i="46"/>
  <c r="K10" i="48"/>
  <c r="J22" i="25"/>
  <c r="K26" i="13"/>
  <c r="K63" i="13" s="1"/>
  <c r="D36" i="46"/>
  <c r="D39" i="46"/>
  <c r="D48" i="46"/>
  <c r="D38" i="46"/>
  <c r="D47" i="46"/>
  <c r="D72" i="46" s="1"/>
  <c r="D37" i="46"/>
  <c r="I52" i="46"/>
  <c r="I54" i="46"/>
  <c r="I51" i="46"/>
  <c r="I53" i="46"/>
  <c r="I55" i="46"/>
  <c r="I56" i="46"/>
  <c r="I57" i="46"/>
  <c r="H51" i="46"/>
  <c r="H76" i="46" s="1"/>
  <c r="H102" i="46" s="1"/>
  <c r="H53" i="46"/>
  <c r="H78" i="46" s="1"/>
  <c r="H104" i="46" s="1"/>
  <c r="H55" i="46"/>
  <c r="H80" i="46" s="1"/>
  <c r="H106" i="46" s="1"/>
  <c r="H52" i="46"/>
  <c r="H77" i="46" s="1"/>
  <c r="H103" i="46" s="1"/>
  <c r="H54" i="46"/>
  <c r="H79" i="46" s="1"/>
  <c r="H105" i="46" s="1"/>
  <c r="H57" i="46"/>
  <c r="H82" i="46" s="1"/>
  <c r="H108" i="46" s="1"/>
  <c r="H56" i="46"/>
  <c r="H81" i="46" s="1"/>
  <c r="H107" i="46" s="1"/>
  <c r="J51" i="46"/>
  <c r="J53" i="46"/>
  <c r="J55" i="46"/>
  <c r="J52" i="46"/>
  <c r="J54" i="46"/>
  <c r="J57" i="46"/>
  <c r="J56" i="46"/>
  <c r="E52" i="46"/>
  <c r="E54" i="46"/>
  <c r="E51" i="46"/>
  <c r="E53" i="46"/>
  <c r="E55" i="46"/>
  <c r="E56" i="46"/>
  <c r="E57" i="46"/>
  <c r="D51" i="46"/>
  <c r="D53" i="46"/>
  <c r="D55" i="46"/>
  <c r="D52" i="46"/>
  <c r="D54" i="46"/>
  <c r="D57" i="46"/>
  <c r="D56" i="46"/>
  <c r="K52" i="46"/>
  <c r="K54" i="46"/>
  <c r="K51" i="46"/>
  <c r="K53" i="46"/>
  <c r="K55" i="46"/>
  <c r="K56" i="46"/>
  <c r="K57" i="46"/>
  <c r="C53" i="46"/>
  <c r="C78" i="46" s="1"/>
  <c r="C104" i="46" s="1"/>
  <c r="C55" i="46"/>
  <c r="C80" i="46" s="1"/>
  <c r="C106" i="46" s="1"/>
  <c r="C57" i="46"/>
  <c r="C82" i="46" s="1"/>
  <c r="C108" i="46" s="1"/>
  <c r="C52" i="46"/>
  <c r="C77" i="46" s="1"/>
  <c r="C103" i="46" s="1"/>
  <c r="C54" i="46"/>
  <c r="C79" i="46" s="1"/>
  <c r="C105" i="46" s="1"/>
  <c r="C56" i="46"/>
  <c r="C81" i="46" s="1"/>
  <c r="C107" i="46" s="1"/>
  <c r="G52" i="46"/>
  <c r="G54" i="46"/>
  <c r="G51" i="46"/>
  <c r="G53" i="46"/>
  <c r="G55" i="46"/>
  <c r="G56" i="46"/>
  <c r="G57" i="46"/>
  <c r="L51" i="46"/>
  <c r="L53" i="46"/>
  <c r="L55" i="46"/>
  <c r="L52" i="46"/>
  <c r="L54" i="46"/>
  <c r="L57" i="46"/>
  <c r="L56" i="46"/>
  <c r="I41" i="46"/>
  <c r="I40" i="46"/>
  <c r="I42" i="46"/>
  <c r="I43" i="46"/>
  <c r="I45" i="46"/>
  <c r="I44" i="46"/>
  <c r="L39" i="46"/>
  <c r="L40" i="46"/>
  <c r="L42" i="46"/>
  <c r="L41" i="46"/>
  <c r="L44" i="46"/>
  <c r="L43" i="46"/>
  <c r="L45" i="46"/>
  <c r="K41" i="46"/>
  <c r="K40" i="46"/>
  <c r="K42" i="46"/>
  <c r="K43" i="46"/>
  <c r="K45" i="46"/>
  <c r="K44" i="46"/>
  <c r="C42" i="46"/>
  <c r="C44" i="46"/>
  <c r="C41" i="46"/>
  <c r="C43" i="46"/>
  <c r="C45" i="46"/>
  <c r="G41" i="46"/>
  <c r="G40" i="46"/>
  <c r="G42" i="46"/>
  <c r="G43" i="46"/>
  <c r="G45" i="46"/>
  <c r="G44" i="46"/>
  <c r="H38" i="46"/>
  <c r="H40" i="46"/>
  <c r="H42" i="46"/>
  <c r="H41" i="46"/>
  <c r="H44" i="46"/>
  <c r="H43" i="46"/>
  <c r="H45" i="46"/>
  <c r="J39" i="46"/>
  <c r="J40" i="46"/>
  <c r="J42" i="46"/>
  <c r="J41" i="46"/>
  <c r="J44" i="46"/>
  <c r="J43" i="46"/>
  <c r="J45" i="46"/>
  <c r="E41" i="46"/>
  <c r="E40" i="46"/>
  <c r="E42" i="46"/>
  <c r="E43" i="46"/>
  <c r="E45" i="46"/>
  <c r="E44" i="46"/>
  <c r="D40" i="46"/>
  <c r="D42" i="46"/>
  <c r="D41" i="46"/>
  <c r="D44" i="46"/>
  <c r="D43" i="46"/>
  <c r="D45" i="46"/>
  <c r="L47" i="46"/>
  <c r="L72" i="46" s="1"/>
  <c r="J47" i="46"/>
  <c r="J72" i="46" s="1"/>
  <c r="J38" i="46"/>
  <c r="H47" i="46"/>
  <c r="H72" i="46" s="1"/>
  <c r="H36" i="46"/>
  <c r="J36" i="46"/>
  <c r="L36" i="46"/>
  <c r="E37" i="46"/>
  <c r="E38" i="46"/>
  <c r="L38" i="46"/>
  <c r="S22" i="20"/>
  <c r="L48" i="46"/>
  <c r="E47" i="46"/>
  <c r="E72" i="46" s="1"/>
  <c r="E48" i="46"/>
  <c r="E36" i="46"/>
  <c r="L37" i="46"/>
  <c r="L22" i="33"/>
  <c r="L25" i="33"/>
  <c r="L28" i="33" s="1"/>
  <c r="L12" i="48" s="1"/>
  <c r="L10" i="48" s="1"/>
  <c r="M19" i="33"/>
  <c r="M16" i="33"/>
  <c r="M13" i="48" s="1"/>
  <c r="N15" i="33"/>
  <c r="N2" i="33"/>
  <c r="N1" i="33"/>
  <c r="N14" i="33"/>
  <c r="O3" i="33"/>
  <c r="O13" i="33" s="1"/>
  <c r="M4" i="33"/>
  <c r="H48" i="46"/>
  <c r="H37" i="46"/>
  <c r="J48" i="46"/>
  <c r="J37" i="46"/>
  <c r="K37" i="46"/>
  <c r="K39" i="46"/>
  <c r="K36" i="46"/>
  <c r="K38" i="46"/>
  <c r="K47" i="46"/>
  <c r="K72" i="46" s="1"/>
  <c r="K48" i="46"/>
  <c r="C37" i="46"/>
  <c r="C39" i="46"/>
  <c r="C38" i="46"/>
  <c r="C40" i="46"/>
  <c r="C51" i="46"/>
  <c r="C76" i="46" s="1"/>
  <c r="C47" i="46"/>
  <c r="C72" i="46" s="1"/>
  <c r="C48" i="46"/>
  <c r="C73" i="46" s="1"/>
  <c r="C36" i="46"/>
  <c r="C61" i="46" s="1"/>
  <c r="G37" i="46"/>
  <c r="G39" i="46"/>
  <c r="G36" i="46"/>
  <c r="G38" i="46"/>
  <c r="G47" i="46"/>
  <c r="G72" i="46" s="1"/>
  <c r="G48" i="46"/>
  <c r="I37" i="46"/>
  <c r="I39" i="46"/>
  <c r="I36" i="46"/>
  <c r="I38" i="46"/>
  <c r="I47" i="46"/>
  <c r="I72" i="46" s="1"/>
  <c r="I48" i="46"/>
  <c r="O3" i="11"/>
  <c r="N2" i="11"/>
  <c r="N1" i="11"/>
  <c r="M4" i="11"/>
  <c r="AH58" i="45"/>
  <c r="U2" i="20"/>
  <c r="T4" i="20"/>
  <c r="T21" i="20" s="1"/>
  <c r="V3" i="20"/>
  <c r="U1" i="20"/>
  <c r="N2" i="19"/>
  <c r="O3" i="19"/>
  <c r="M4" i="19"/>
  <c r="N1" i="19"/>
  <c r="M2" i="25"/>
  <c r="N3" i="25"/>
  <c r="M1" i="25"/>
  <c r="L4" i="25"/>
  <c r="O2" i="13"/>
  <c r="P3" i="13"/>
  <c r="N4" i="13"/>
  <c r="O1" i="13"/>
  <c r="M4" i="24"/>
  <c r="N1" i="24"/>
  <c r="N2" i="24"/>
  <c r="O3" i="24"/>
  <c r="Q3" i="29"/>
  <c r="P2" i="29"/>
  <c r="P1" i="29"/>
  <c r="O4" i="29"/>
  <c r="O2" i="10"/>
  <c r="N4" i="10"/>
  <c r="P3" i="10"/>
  <c r="O1" i="10"/>
  <c r="AI2" i="45"/>
  <c r="AJ3" i="45"/>
  <c r="AH4" i="45"/>
  <c r="AI1" i="45"/>
  <c r="O15" i="10" l="1"/>
  <c r="O12" i="10"/>
  <c r="O8" i="10"/>
  <c r="P10" i="10"/>
  <c r="P9" i="10"/>
  <c r="P17" i="10"/>
  <c r="P11" i="10"/>
  <c r="P14" i="10"/>
  <c r="P8" i="10"/>
  <c r="P12" i="10"/>
  <c r="P16" i="10"/>
  <c r="P13" i="10"/>
  <c r="P15" i="10"/>
  <c r="M62" i="46"/>
  <c r="M88" i="46" s="1"/>
  <c r="H74" i="46"/>
  <c r="H100" i="46" s="1"/>
  <c r="L67" i="46"/>
  <c r="L93" i="46" s="1"/>
  <c r="G61" i="46"/>
  <c r="G87" i="46" s="1"/>
  <c r="D68" i="46"/>
  <c r="D94" i="46" s="1"/>
  <c r="E65" i="46"/>
  <c r="E91" i="46" s="1"/>
  <c r="G67" i="46"/>
  <c r="G93" i="46" s="1"/>
  <c r="K68" i="46"/>
  <c r="K94" i="46" s="1"/>
  <c r="L65" i="46"/>
  <c r="L91" i="46" s="1"/>
  <c r="I63" i="46"/>
  <c r="I89" i="46" s="1"/>
  <c r="J70" i="46"/>
  <c r="J96" i="46" s="1"/>
  <c r="K67" i="46"/>
  <c r="K93" i="46" s="1"/>
  <c r="L64" i="46"/>
  <c r="L90" i="46" s="1"/>
  <c r="D62" i="46"/>
  <c r="D88" i="46" s="1"/>
  <c r="I61" i="46"/>
  <c r="I87" i="46" s="1"/>
  <c r="G62" i="46"/>
  <c r="G88" i="46" s="1"/>
  <c r="C62" i="46"/>
  <c r="C88" i="46" s="1"/>
  <c r="J62" i="46"/>
  <c r="J88" i="46" s="1"/>
  <c r="E73" i="46"/>
  <c r="E99" i="46" s="1"/>
  <c r="J61" i="46"/>
  <c r="J87" i="46" s="1"/>
  <c r="D66" i="46"/>
  <c r="D92" i="46" s="1"/>
  <c r="J68" i="46"/>
  <c r="J94" i="46" s="1"/>
  <c r="H66" i="46"/>
  <c r="H92" i="46" s="1"/>
  <c r="G66" i="46"/>
  <c r="G92" i="46" s="1"/>
  <c r="K65" i="46"/>
  <c r="K91" i="46" s="1"/>
  <c r="I70" i="46"/>
  <c r="I96" i="46" s="1"/>
  <c r="L74" i="46"/>
  <c r="L100" i="46" s="1"/>
  <c r="C74" i="46"/>
  <c r="C100" i="46" s="1"/>
  <c r="L63" i="46"/>
  <c r="L89" i="46" s="1"/>
  <c r="C70" i="46"/>
  <c r="C96" i="46" s="1"/>
  <c r="I73" i="46"/>
  <c r="I99" i="46" s="1"/>
  <c r="K62" i="46"/>
  <c r="K88" i="46" s="1"/>
  <c r="E62" i="46"/>
  <c r="E88" i="46" s="1"/>
  <c r="H68" i="46"/>
  <c r="H94" i="46" s="1"/>
  <c r="F73" i="46"/>
  <c r="F99" i="46" s="1"/>
  <c r="J74" i="46"/>
  <c r="J100" i="46" s="1"/>
  <c r="E74" i="46"/>
  <c r="E100" i="46" s="1"/>
  <c r="G64" i="46"/>
  <c r="G90" i="46" s="1"/>
  <c r="C64" i="46"/>
  <c r="C90" i="46" s="1"/>
  <c r="E61" i="46"/>
  <c r="E87" i="46" s="1"/>
  <c r="D69" i="46"/>
  <c r="D95" i="46" s="1"/>
  <c r="E66" i="46"/>
  <c r="E92" i="46" s="1"/>
  <c r="H69" i="46"/>
  <c r="H95" i="46" s="1"/>
  <c r="I69" i="46"/>
  <c r="I95" i="46" s="1"/>
  <c r="I64" i="46"/>
  <c r="I90" i="46" s="1"/>
  <c r="K73" i="46"/>
  <c r="K99" i="46" s="1"/>
  <c r="J73" i="46"/>
  <c r="J99" i="46" s="1"/>
  <c r="H61" i="46"/>
  <c r="H87" i="46" s="1"/>
  <c r="D67" i="46"/>
  <c r="D93" i="46" s="1"/>
  <c r="J69" i="46"/>
  <c r="J95" i="46" s="1"/>
  <c r="H67" i="46"/>
  <c r="H93" i="46" s="1"/>
  <c r="K66" i="46"/>
  <c r="K92" i="46" s="1"/>
  <c r="L70" i="46"/>
  <c r="L96" i="46" s="1"/>
  <c r="I68" i="46"/>
  <c r="I94" i="46" s="1"/>
  <c r="D63" i="46"/>
  <c r="D89" i="46" s="1"/>
  <c r="K74" i="46"/>
  <c r="K100" i="46" s="1"/>
  <c r="C67" i="46"/>
  <c r="C93" i="46" s="1"/>
  <c r="K64" i="46"/>
  <c r="K90" i="46" s="1"/>
  <c r="E67" i="46"/>
  <c r="E93" i="46" s="1"/>
  <c r="C68" i="46"/>
  <c r="C94" i="46" s="1"/>
  <c r="I62" i="46"/>
  <c r="I88" i="46" s="1"/>
  <c r="H62" i="46"/>
  <c r="H88" i="46" s="1"/>
  <c r="L73" i="46"/>
  <c r="L99" i="46" s="1"/>
  <c r="D65" i="46"/>
  <c r="D91" i="46" s="1"/>
  <c r="E69" i="46"/>
  <c r="E95" i="46" s="1"/>
  <c r="J66" i="46"/>
  <c r="J92" i="46" s="1"/>
  <c r="H65" i="46"/>
  <c r="H91" i="46" s="1"/>
  <c r="L68" i="46"/>
  <c r="L94" i="46" s="1"/>
  <c r="I67" i="46"/>
  <c r="I93" i="46" s="1"/>
  <c r="D73" i="46"/>
  <c r="D99" i="46" s="1"/>
  <c r="E68" i="46"/>
  <c r="E94" i="46" s="1"/>
  <c r="G70" i="46"/>
  <c r="G96" i="46" s="1"/>
  <c r="D61" i="46"/>
  <c r="D87" i="46" s="1"/>
  <c r="G63" i="46"/>
  <c r="G89" i="46" s="1"/>
  <c r="E63" i="46"/>
  <c r="E89" i="46" s="1"/>
  <c r="J64" i="46"/>
  <c r="J90" i="46" s="1"/>
  <c r="K70" i="46"/>
  <c r="K96" i="46" s="1"/>
  <c r="G73" i="46"/>
  <c r="G99" i="46" s="1"/>
  <c r="K63" i="46"/>
  <c r="K89" i="46" s="1"/>
  <c r="H73" i="46"/>
  <c r="H99" i="46" s="1"/>
  <c r="J63" i="46"/>
  <c r="J89" i="46" s="1"/>
  <c r="E70" i="46"/>
  <c r="E96" i="46" s="1"/>
  <c r="J67" i="46"/>
  <c r="J93" i="46" s="1"/>
  <c r="H63" i="46"/>
  <c r="H89" i="46" s="1"/>
  <c r="G69" i="46"/>
  <c r="G95" i="46" s="1"/>
  <c r="C69" i="46"/>
  <c r="C95" i="46" s="1"/>
  <c r="L69" i="46"/>
  <c r="L95" i="46" s="1"/>
  <c r="I65" i="46"/>
  <c r="I91" i="46" s="1"/>
  <c r="D64" i="46"/>
  <c r="D90" i="46" s="1"/>
  <c r="I74" i="46"/>
  <c r="I100" i="46" s="1"/>
  <c r="F74" i="46"/>
  <c r="F100" i="46" s="1"/>
  <c r="G74" i="46"/>
  <c r="G100" i="46" s="1"/>
  <c r="J65" i="46"/>
  <c r="J91" i="46" s="1"/>
  <c r="K69" i="46"/>
  <c r="K95" i="46" s="1"/>
  <c r="I66" i="46"/>
  <c r="I92" i="46" s="1"/>
  <c r="D74" i="46"/>
  <c r="D100" i="46" s="1"/>
  <c r="H70" i="46"/>
  <c r="H96" i="46" s="1"/>
  <c r="C65" i="46"/>
  <c r="C91" i="46" s="1"/>
  <c r="G68" i="46"/>
  <c r="G94" i="46" s="1"/>
  <c r="L62" i="46"/>
  <c r="L88" i="46" s="1"/>
  <c r="K61" i="46"/>
  <c r="K87" i="46" s="1"/>
  <c r="L66" i="46"/>
  <c r="L92" i="46" s="1"/>
  <c r="D70" i="46"/>
  <c r="D96" i="46" s="1"/>
  <c r="C63" i="46"/>
  <c r="C89" i="46" s="1"/>
  <c r="C66" i="46"/>
  <c r="C92" i="46" s="1"/>
  <c r="L61" i="46"/>
  <c r="L87" i="46" s="1"/>
  <c r="G65" i="46"/>
  <c r="G91" i="46" s="1"/>
  <c r="M47" i="46"/>
  <c r="M72" i="46" s="1"/>
  <c r="M98" i="46" s="1"/>
  <c r="M53" i="46"/>
  <c r="M78" i="46" s="1"/>
  <c r="M104" i="46" s="1"/>
  <c r="M42" i="46"/>
  <c r="M54" i="46"/>
  <c r="M79" i="46" s="1"/>
  <c r="M105" i="46" s="1"/>
  <c r="M40" i="46"/>
  <c r="M52" i="46"/>
  <c r="M77" i="46" s="1"/>
  <c r="M103" i="46" s="1"/>
  <c r="M38" i="46"/>
  <c r="M57" i="46"/>
  <c r="M82" i="46" s="1"/>
  <c r="M108" i="46" s="1"/>
  <c r="M41" i="46"/>
  <c r="M36" i="46"/>
  <c r="M48" i="46"/>
  <c r="M39" i="46"/>
  <c r="M55" i="46"/>
  <c r="M80" i="46" s="1"/>
  <c r="M106" i="46" s="1"/>
  <c r="M43" i="46"/>
  <c r="M51" i="46"/>
  <c r="M76" i="46" s="1"/>
  <c r="M102" i="46" s="1"/>
  <c r="O26" i="46"/>
  <c r="O25" i="46"/>
  <c r="O30" i="46"/>
  <c r="O29" i="46"/>
  <c r="O27" i="46"/>
  <c r="O31" i="46"/>
  <c r="O28" i="46"/>
  <c r="O12" i="46"/>
  <c r="O14" i="46"/>
  <c r="O17" i="46"/>
  <c r="O23" i="46"/>
  <c r="O11" i="46"/>
  <c r="O22" i="46"/>
  <c r="O10" i="46"/>
  <c r="O21" i="46"/>
  <c r="O15" i="46"/>
  <c r="O13" i="46"/>
  <c r="O16" i="46"/>
  <c r="O18" i="46"/>
  <c r="O19" i="46"/>
  <c r="M44" i="46"/>
  <c r="M45" i="46"/>
  <c r="M56" i="46"/>
  <c r="M81" i="46" s="1"/>
  <c r="M107" i="46" s="1"/>
  <c r="M49" i="46"/>
  <c r="AH59" i="45"/>
  <c r="N9" i="46"/>
  <c r="H101" i="46"/>
  <c r="N113" i="46"/>
  <c r="J82" i="46"/>
  <c r="J108" i="46" s="1"/>
  <c r="L76" i="46"/>
  <c r="L102" i="46" s="1"/>
  <c r="K77" i="46"/>
  <c r="K103" i="46" s="1"/>
  <c r="E79" i="46"/>
  <c r="E105" i="46" s="1"/>
  <c r="E82" i="46"/>
  <c r="E108" i="46" s="1"/>
  <c r="C102" i="46"/>
  <c r="C101" i="46" s="1"/>
  <c r="C75" i="46"/>
  <c r="L80" i="46"/>
  <c r="L106" i="46" s="1"/>
  <c r="G81" i="46"/>
  <c r="G107" i="46" s="1"/>
  <c r="K76" i="46"/>
  <c r="K102" i="46" s="1"/>
  <c r="D81" i="46"/>
  <c r="D107" i="46" s="1"/>
  <c r="D76" i="46"/>
  <c r="D102" i="46" s="1"/>
  <c r="E78" i="46"/>
  <c r="E104" i="46" s="1"/>
  <c r="H75" i="46"/>
  <c r="H39" i="13" s="1"/>
  <c r="I80" i="46"/>
  <c r="I106" i="46" s="1"/>
  <c r="L78" i="46"/>
  <c r="L104" i="46" s="1"/>
  <c r="E76" i="46"/>
  <c r="E102" i="46" s="1"/>
  <c r="I78" i="46"/>
  <c r="I104" i="46" s="1"/>
  <c r="F76" i="46"/>
  <c r="F102" i="46" s="1"/>
  <c r="F77" i="46"/>
  <c r="F103" i="46" s="1"/>
  <c r="N112" i="46"/>
  <c r="K82" i="46"/>
  <c r="K108" i="46" s="1"/>
  <c r="D82" i="46"/>
  <c r="D108" i="46" s="1"/>
  <c r="I79" i="46"/>
  <c r="I105" i="46" s="1"/>
  <c r="G79" i="46"/>
  <c r="G105" i="46" s="1"/>
  <c r="D79" i="46"/>
  <c r="D105" i="46" s="1"/>
  <c r="J80" i="46"/>
  <c r="J106" i="46" s="1"/>
  <c r="I82" i="46"/>
  <c r="I108" i="46" s="1"/>
  <c r="I77" i="46"/>
  <c r="I103" i="46" s="1"/>
  <c r="F81" i="46"/>
  <c r="F107" i="46" s="1"/>
  <c r="G80" i="46"/>
  <c r="G106" i="46" s="1"/>
  <c r="K79" i="46"/>
  <c r="K105" i="46" s="1"/>
  <c r="L81" i="46"/>
  <c r="L107" i="46" s="1"/>
  <c r="G78" i="46"/>
  <c r="G104" i="46" s="1"/>
  <c r="I76" i="46"/>
  <c r="I102" i="46" s="1"/>
  <c r="L82" i="46"/>
  <c r="L108" i="46" s="1"/>
  <c r="G82" i="46"/>
  <c r="G108" i="46" s="1"/>
  <c r="G77" i="46"/>
  <c r="G103" i="46" s="1"/>
  <c r="K81" i="46"/>
  <c r="K107" i="46" s="1"/>
  <c r="D77" i="46"/>
  <c r="D103" i="46" s="1"/>
  <c r="J78" i="46"/>
  <c r="J104" i="46" s="1"/>
  <c r="F79" i="46"/>
  <c r="F105" i="46" s="1"/>
  <c r="G76" i="46"/>
  <c r="G102" i="46" s="1"/>
  <c r="E77" i="46"/>
  <c r="E103" i="46" s="1"/>
  <c r="J77" i="46"/>
  <c r="J103" i="46" s="1"/>
  <c r="L79" i="46"/>
  <c r="L105" i="46" s="1"/>
  <c r="K80" i="46"/>
  <c r="K106" i="46" s="1"/>
  <c r="D80" i="46"/>
  <c r="D106" i="46" s="1"/>
  <c r="E81" i="46"/>
  <c r="E107" i="46" s="1"/>
  <c r="J81" i="46"/>
  <c r="J107" i="46" s="1"/>
  <c r="J76" i="46"/>
  <c r="J102" i="46" s="1"/>
  <c r="F78" i="46"/>
  <c r="F104" i="46" s="1"/>
  <c r="J79" i="46"/>
  <c r="J105" i="46" s="1"/>
  <c r="L77" i="46"/>
  <c r="L103" i="46" s="1"/>
  <c r="K78" i="46"/>
  <c r="K104" i="46" s="1"/>
  <c r="D78" i="46"/>
  <c r="D104" i="46" s="1"/>
  <c r="E80" i="46"/>
  <c r="E106" i="46" s="1"/>
  <c r="I81" i="46"/>
  <c r="I107" i="46" s="1"/>
  <c r="F82" i="46"/>
  <c r="F108" i="46" s="1"/>
  <c r="F80" i="46"/>
  <c r="F106" i="46" s="1"/>
  <c r="F98" i="46"/>
  <c r="N24" i="46"/>
  <c r="O2" i="46"/>
  <c r="P3" i="46"/>
  <c r="M32" i="46"/>
  <c r="O1" i="46"/>
  <c r="N4" i="46"/>
  <c r="N20" i="46"/>
  <c r="N20" i="33"/>
  <c r="N26" i="33" s="1"/>
  <c r="AI58" i="45"/>
  <c r="AI59" i="45"/>
  <c r="AE59" i="45"/>
  <c r="AD58" i="45"/>
  <c r="AF58" i="45"/>
  <c r="X20" i="45"/>
  <c r="N59" i="45"/>
  <c r="T58" i="45"/>
  <c r="L59" i="45"/>
  <c r="L58" i="45"/>
  <c r="R59" i="45"/>
  <c r="V58" i="45"/>
  <c r="Q58" i="45"/>
  <c r="X58" i="45"/>
  <c r="S58" i="45"/>
  <c r="N58" i="45"/>
  <c r="P58" i="45"/>
  <c r="M59" i="45"/>
  <c r="T59" i="45"/>
  <c r="O58" i="45"/>
  <c r="Q59" i="45"/>
  <c r="S59" i="45"/>
  <c r="X59" i="45"/>
  <c r="Y58" i="45"/>
  <c r="U58" i="45"/>
  <c r="M58" i="45"/>
  <c r="V59" i="45"/>
  <c r="O59" i="45"/>
  <c r="W58" i="45"/>
  <c r="Y59" i="45"/>
  <c r="AA59" i="45"/>
  <c r="U59" i="45"/>
  <c r="W59" i="45"/>
  <c r="R58" i="45"/>
  <c r="P59" i="45"/>
  <c r="Z58" i="45"/>
  <c r="AA58" i="45"/>
  <c r="Z59" i="45"/>
  <c r="AB58" i="45"/>
  <c r="AC58" i="45"/>
  <c r="AC59" i="45"/>
  <c r="AB59" i="45"/>
  <c r="AD59" i="45"/>
  <c r="AG58" i="45"/>
  <c r="AE58" i="45"/>
  <c r="AF59" i="45"/>
  <c r="AG59" i="45"/>
  <c r="N21" i="33"/>
  <c r="N27" i="33" s="1"/>
  <c r="BA5" i="29"/>
  <c r="H98" i="46"/>
  <c r="J98" i="46"/>
  <c r="L98" i="46"/>
  <c r="C87" i="46"/>
  <c r="K98" i="46"/>
  <c r="I98" i="46"/>
  <c r="C98" i="46"/>
  <c r="D98" i="46"/>
  <c r="G98" i="46"/>
  <c r="E98" i="46"/>
  <c r="K22" i="25"/>
  <c r="L26" i="13"/>
  <c r="L63" i="13" s="1"/>
  <c r="AH21" i="45"/>
  <c r="T22" i="20"/>
  <c r="AH20" i="45"/>
  <c r="P3" i="33"/>
  <c r="P13" i="33" s="1"/>
  <c r="O2" i="33"/>
  <c r="N4" i="33"/>
  <c r="O14" i="33"/>
  <c r="O15" i="33"/>
  <c r="O1" i="33"/>
  <c r="N16" i="33"/>
  <c r="N13" i="48" s="1"/>
  <c r="BL13" i="48" s="1"/>
  <c r="N19" i="33"/>
  <c r="M22" i="33"/>
  <c r="M25" i="33"/>
  <c r="M28" i="33" s="1"/>
  <c r="M12" i="48" s="1"/>
  <c r="M10" i="48" s="1"/>
  <c r="AD20" i="45"/>
  <c r="AF21" i="45"/>
  <c r="AB20" i="45"/>
  <c r="Z20" i="45"/>
  <c r="AD21" i="45"/>
  <c r="AF20" i="45"/>
  <c r="P3" i="11"/>
  <c r="O1" i="11"/>
  <c r="O2" i="11"/>
  <c r="N4" i="11"/>
  <c r="N21" i="45"/>
  <c r="V21" i="45"/>
  <c r="S21" i="45"/>
  <c r="U21" i="45"/>
  <c r="O21" i="45"/>
  <c r="Q21" i="45"/>
  <c r="R21" i="45"/>
  <c r="W21" i="45"/>
  <c r="M21" i="45"/>
  <c r="T21" i="45"/>
  <c r="L20" i="45"/>
  <c r="L21" i="45"/>
  <c r="M20" i="45"/>
  <c r="R20" i="45"/>
  <c r="Z21" i="45"/>
  <c r="T20" i="45"/>
  <c r="U20" i="45"/>
  <c r="AB21" i="45"/>
  <c r="N20" i="45"/>
  <c r="O20" i="45"/>
  <c r="AA20" i="45"/>
  <c r="V20" i="45"/>
  <c r="W20" i="45"/>
  <c r="AE20" i="45"/>
  <c r="AG20" i="45"/>
  <c r="Y20" i="45"/>
  <c r="P21" i="45"/>
  <c r="S20" i="45"/>
  <c r="AA21" i="45"/>
  <c r="AC20" i="45"/>
  <c r="AE21" i="45"/>
  <c r="Y21" i="45"/>
  <c r="P20" i="45"/>
  <c r="AC21" i="45"/>
  <c r="Q20" i="45"/>
  <c r="X21" i="45"/>
  <c r="AG21" i="45"/>
  <c r="V2" i="20"/>
  <c r="U4" i="20"/>
  <c r="U21" i="20" s="1"/>
  <c r="W3" i="20"/>
  <c r="V1" i="20"/>
  <c r="O2" i="19"/>
  <c r="P3" i="19"/>
  <c r="O1" i="19"/>
  <c r="N4" i="19"/>
  <c r="P2" i="13"/>
  <c r="Q3" i="13"/>
  <c r="P1" i="13"/>
  <c r="O4" i="13"/>
  <c r="N2" i="25"/>
  <c r="O3" i="25"/>
  <c r="M4" i="25"/>
  <c r="N1" i="25"/>
  <c r="AI21" i="45"/>
  <c r="AI20" i="45"/>
  <c r="N4" i="24"/>
  <c r="O1" i="24"/>
  <c r="P3" i="24"/>
  <c r="O2" i="24"/>
  <c r="AJ2" i="45"/>
  <c r="AK3" i="45"/>
  <c r="AI4" i="45"/>
  <c r="AJ1" i="45"/>
  <c r="P2" i="10"/>
  <c r="O4" i="10"/>
  <c r="Q3" i="10"/>
  <c r="P1" i="10"/>
  <c r="R3" i="29"/>
  <c r="Q2" i="29"/>
  <c r="P4" i="29"/>
  <c r="Q1" i="29"/>
  <c r="Q17" i="10" l="1"/>
  <c r="Q9" i="10"/>
  <c r="Q14" i="10"/>
  <c r="Q11" i="10"/>
  <c r="Q16" i="10"/>
  <c r="Q8" i="10"/>
  <c r="Q10" i="10"/>
  <c r="Q12" i="10"/>
  <c r="Q15" i="10"/>
  <c r="Q13" i="10"/>
  <c r="Q26" i="45"/>
  <c r="H11" i="13" s="1"/>
  <c r="Q29" i="45"/>
  <c r="H14" i="13" s="1"/>
  <c r="Q30" i="45"/>
  <c r="H15" i="13" s="1"/>
  <c r="Q25" i="45"/>
  <c r="H10" i="13" s="1"/>
  <c r="Q34" i="45"/>
  <c r="H19" i="13" s="1"/>
  <c r="Q27" i="45"/>
  <c r="H12" i="13" s="1"/>
  <c r="Q33" i="45"/>
  <c r="H18" i="13" s="1"/>
  <c r="Q28" i="45"/>
  <c r="H13" i="13" s="1"/>
  <c r="Q32" i="45"/>
  <c r="H17" i="13" s="1"/>
  <c r="Q31" i="45"/>
  <c r="H16" i="13" s="1"/>
  <c r="P26" i="45"/>
  <c r="G11" i="13" s="1"/>
  <c r="P29" i="45"/>
  <c r="P31" i="45"/>
  <c r="P28" i="45"/>
  <c r="P30" i="45"/>
  <c r="P27" i="45"/>
  <c r="P34" i="45"/>
  <c r="P32" i="45"/>
  <c r="P25" i="45"/>
  <c r="G10" i="13" s="1"/>
  <c r="P33" i="45"/>
  <c r="T29" i="45"/>
  <c r="K14" i="13" s="1"/>
  <c r="T32" i="45"/>
  <c r="K17" i="13" s="1"/>
  <c r="T33" i="45"/>
  <c r="K18" i="13" s="1"/>
  <c r="T25" i="45"/>
  <c r="K10" i="13" s="1"/>
  <c r="T31" i="45"/>
  <c r="K16" i="13" s="1"/>
  <c r="T30" i="45"/>
  <c r="K15" i="13" s="1"/>
  <c r="T34" i="45"/>
  <c r="K19" i="13" s="1"/>
  <c r="T27" i="45"/>
  <c r="K12" i="13" s="1"/>
  <c r="T26" i="45"/>
  <c r="K11" i="13" s="1"/>
  <c r="T28" i="45"/>
  <c r="K13" i="13" s="1"/>
  <c r="AE26" i="45"/>
  <c r="AE31" i="45"/>
  <c r="AE30" i="45"/>
  <c r="AE27" i="45"/>
  <c r="AE34" i="45"/>
  <c r="AE33" i="45"/>
  <c r="AE25" i="45"/>
  <c r="AE29" i="45"/>
  <c r="AE28" i="45"/>
  <c r="AE32" i="45"/>
  <c r="S25" i="45"/>
  <c r="J10" i="13" s="1"/>
  <c r="S33" i="45"/>
  <c r="J18" i="13" s="1"/>
  <c r="S29" i="45"/>
  <c r="J14" i="13" s="1"/>
  <c r="S31" i="45"/>
  <c r="J16" i="13" s="1"/>
  <c r="S27" i="45"/>
  <c r="J12" i="13" s="1"/>
  <c r="S30" i="45"/>
  <c r="J15" i="13" s="1"/>
  <c r="S26" i="45"/>
  <c r="J11" i="13" s="1"/>
  <c r="S34" i="45"/>
  <c r="J19" i="13" s="1"/>
  <c r="S32" i="45"/>
  <c r="J17" i="13" s="1"/>
  <c r="S28" i="45"/>
  <c r="J13" i="13" s="1"/>
  <c r="W28" i="45"/>
  <c r="N13" i="13" s="1"/>
  <c r="W32" i="45"/>
  <c r="N17" i="13" s="1"/>
  <c r="W25" i="45"/>
  <c r="N10" i="13" s="1"/>
  <c r="W30" i="45"/>
  <c r="N15" i="13" s="1"/>
  <c r="W26" i="45"/>
  <c r="N11" i="13" s="1"/>
  <c r="W34" i="45"/>
  <c r="N19" i="13" s="1"/>
  <c r="W29" i="45"/>
  <c r="N14" i="13" s="1"/>
  <c r="W27" i="45"/>
  <c r="N12" i="13" s="1"/>
  <c r="W33" i="45"/>
  <c r="N18" i="13" s="1"/>
  <c r="W31" i="45"/>
  <c r="N16" i="13" s="1"/>
  <c r="AF26" i="45"/>
  <c r="AF29" i="45"/>
  <c r="AF31" i="45"/>
  <c r="AF28" i="45"/>
  <c r="AF30" i="45"/>
  <c r="AF34" i="45"/>
  <c r="AF27" i="45"/>
  <c r="AF33" i="45"/>
  <c r="AF32" i="45"/>
  <c r="AF25" i="45"/>
  <c r="Y33" i="45"/>
  <c r="Y32" i="45"/>
  <c r="Y26" i="45"/>
  <c r="Y25" i="45"/>
  <c r="Y27" i="45"/>
  <c r="Y30" i="45"/>
  <c r="Y31" i="45"/>
  <c r="Y29" i="45"/>
  <c r="Y34" i="45"/>
  <c r="Y28" i="45"/>
  <c r="Z28" i="45"/>
  <c r="Z30" i="45"/>
  <c r="Z31" i="45"/>
  <c r="Z26" i="45"/>
  <c r="Z32" i="45"/>
  <c r="Z25" i="45"/>
  <c r="Z27" i="45"/>
  <c r="Z29" i="45"/>
  <c r="Z33" i="45"/>
  <c r="Z34" i="45"/>
  <c r="AA25" i="45"/>
  <c r="AA28" i="45"/>
  <c r="AA30" i="45"/>
  <c r="AA27" i="45"/>
  <c r="AA34" i="45"/>
  <c r="AA31" i="45"/>
  <c r="AA32" i="45"/>
  <c r="AA26" i="45"/>
  <c r="AA29" i="45"/>
  <c r="AA33" i="45"/>
  <c r="O29" i="45"/>
  <c r="F14" i="13" s="1"/>
  <c r="O31" i="45"/>
  <c r="F16" i="13" s="1"/>
  <c r="O30" i="45"/>
  <c r="F15" i="13" s="1"/>
  <c r="O34" i="45"/>
  <c r="F19" i="13" s="1"/>
  <c r="O28" i="45"/>
  <c r="F13" i="13" s="1"/>
  <c r="O32" i="45"/>
  <c r="F17" i="13" s="1"/>
  <c r="O27" i="45"/>
  <c r="F12" i="13" s="1"/>
  <c r="O25" i="45"/>
  <c r="F10" i="13" s="1"/>
  <c r="O33" i="45"/>
  <c r="F18" i="13" s="1"/>
  <c r="O26" i="45"/>
  <c r="F11" i="13" s="1"/>
  <c r="X28" i="45"/>
  <c r="O13" i="13" s="1"/>
  <c r="X26" i="45"/>
  <c r="O11" i="13" s="1"/>
  <c r="X32" i="45"/>
  <c r="O17" i="13" s="1"/>
  <c r="X25" i="45"/>
  <c r="O10" i="13" s="1"/>
  <c r="X27" i="45"/>
  <c r="O12" i="13" s="1"/>
  <c r="X30" i="45"/>
  <c r="O15" i="13" s="1"/>
  <c r="X34" i="45"/>
  <c r="O19" i="13" s="1"/>
  <c r="X33" i="45"/>
  <c r="O18" i="13" s="1"/>
  <c r="X31" i="45"/>
  <c r="O16" i="13" s="1"/>
  <c r="X29" i="45"/>
  <c r="O14" i="13" s="1"/>
  <c r="AD34" i="45"/>
  <c r="AD27" i="45"/>
  <c r="AD31" i="45"/>
  <c r="AD28" i="45"/>
  <c r="AD29" i="45"/>
  <c r="AD25" i="45"/>
  <c r="AD32" i="45"/>
  <c r="AD30" i="45"/>
  <c r="AD33" i="45"/>
  <c r="AD26" i="45"/>
  <c r="V27" i="45"/>
  <c r="M12" i="13" s="1"/>
  <c r="V25" i="45"/>
  <c r="M10" i="13" s="1"/>
  <c r="V33" i="45"/>
  <c r="M18" i="13" s="1"/>
  <c r="V26" i="45"/>
  <c r="M11" i="13" s="1"/>
  <c r="V34" i="45"/>
  <c r="M19" i="13" s="1"/>
  <c r="V29" i="45"/>
  <c r="M14" i="13" s="1"/>
  <c r="V30" i="45"/>
  <c r="M15" i="13" s="1"/>
  <c r="V28" i="45"/>
  <c r="M13" i="13" s="1"/>
  <c r="V31" i="45"/>
  <c r="M16" i="13" s="1"/>
  <c r="V32" i="45"/>
  <c r="M17" i="13" s="1"/>
  <c r="R25" i="45"/>
  <c r="I10" i="13" s="1"/>
  <c r="R33" i="45"/>
  <c r="I18" i="13" s="1"/>
  <c r="R29" i="45"/>
  <c r="I14" i="13" s="1"/>
  <c r="R27" i="45"/>
  <c r="I12" i="13" s="1"/>
  <c r="R34" i="45"/>
  <c r="I19" i="13" s="1"/>
  <c r="R28" i="45"/>
  <c r="I13" i="13" s="1"/>
  <c r="R32" i="45"/>
  <c r="I17" i="13" s="1"/>
  <c r="R31" i="45"/>
  <c r="I16" i="13" s="1"/>
  <c r="R30" i="45"/>
  <c r="I15" i="13" s="1"/>
  <c r="R26" i="45"/>
  <c r="I11" i="13" s="1"/>
  <c r="AI33" i="45"/>
  <c r="AI29" i="45"/>
  <c r="AI30" i="45"/>
  <c r="AI28" i="45"/>
  <c r="AI31" i="45"/>
  <c r="AI32" i="45"/>
  <c r="AI27" i="45"/>
  <c r="AI25" i="45"/>
  <c r="AI26" i="45"/>
  <c r="AI34" i="45"/>
  <c r="U27" i="45"/>
  <c r="L12" i="13" s="1"/>
  <c r="U29" i="45"/>
  <c r="L14" i="13" s="1"/>
  <c r="U32" i="45"/>
  <c r="L17" i="13" s="1"/>
  <c r="U25" i="45"/>
  <c r="L10" i="13" s="1"/>
  <c r="U33" i="45"/>
  <c r="L18" i="13" s="1"/>
  <c r="U31" i="45"/>
  <c r="L16" i="13" s="1"/>
  <c r="U30" i="45"/>
  <c r="L15" i="13" s="1"/>
  <c r="U34" i="45"/>
  <c r="L19" i="13" s="1"/>
  <c r="U26" i="45"/>
  <c r="L11" i="13" s="1"/>
  <c r="U28" i="45"/>
  <c r="L13" i="13" s="1"/>
  <c r="M26" i="45"/>
  <c r="D11" i="13" s="1"/>
  <c r="M29" i="45"/>
  <c r="D14" i="13" s="1"/>
  <c r="M30" i="45"/>
  <c r="D15" i="13" s="1"/>
  <c r="M28" i="45"/>
  <c r="D13" i="13" s="1"/>
  <c r="M27" i="45"/>
  <c r="D12" i="13" s="1"/>
  <c r="M34" i="45"/>
  <c r="D19" i="13" s="1"/>
  <c r="M32" i="45"/>
  <c r="D17" i="13" s="1"/>
  <c r="M25" i="45"/>
  <c r="D10" i="13" s="1"/>
  <c r="M33" i="45"/>
  <c r="D18" i="13" s="1"/>
  <c r="M31" i="45"/>
  <c r="D16" i="13" s="1"/>
  <c r="AG26" i="45"/>
  <c r="AG30" i="45"/>
  <c r="AG28" i="45"/>
  <c r="AG27" i="45"/>
  <c r="AG33" i="45"/>
  <c r="AG31" i="45"/>
  <c r="AG32" i="45"/>
  <c r="AG25" i="45"/>
  <c r="AG34" i="45"/>
  <c r="AG29" i="45"/>
  <c r="AB25" i="45"/>
  <c r="AB27" i="45"/>
  <c r="AB31" i="45"/>
  <c r="AB34" i="45"/>
  <c r="AB26" i="45"/>
  <c r="AB28" i="45"/>
  <c r="AB29" i="45"/>
  <c r="AB30" i="45"/>
  <c r="AB32" i="45"/>
  <c r="AB33" i="45"/>
  <c r="L33" i="45"/>
  <c r="L34" i="45"/>
  <c r="L27" i="45"/>
  <c r="L28" i="45"/>
  <c r="L29" i="45"/>
  <c r="L30" i="45"/>
  <c r="L31" i="45"/>
  <c r="L32" i="45"/>
  <c r="N34" i="45"/>
  <c r="E19" i="13" s="1"/>
  <c r="N26" i="45"/>
  <c r="E11" i="13" s="1"/>
  <c r="N28" i="45"/>
  <c r="E13" i="13" s="1"/>
  <c r="N29" i="45"/>
  <c r="E14" i="13" s="1"/>
  <c r="N30" i="45"/>
  <c r="E15" i="13" s="1"/>
  <c r="N32" i="45"/>
  <c r="E17" i="13" s="1"/>
  <c r="N25" i="45"/>
  <c r="E10" i="13" s="1"/>
  <c r="N33" i="45"/>
  <c r="E18" i="13" s="1"/>
  <c r="N31" i="45"/>
  <c r="E16" i="13" s="1"/>
  <c r="N27" i="45"/>
  <c r="E12" i="13" s="1"/>
  <c r="AC27" i="45"/>
  <c r="AC34" i="45"/>
  <c r="AC31" i="45"/>
  <c r="AC25" i="45"/>
  <c r="AC28" i="45"/>
  <c r="AC29" i="45"/>
  <c r="AC26" i="45"/>
  <c r="AC30" i="45"/>
  <c r="AC32" i="45"/>
  <c r="AC33" i="45"/>
  <c r="AH26" i="45"/>
  <c r="AH29" i="45"/>
  <c r="AH28" i="45"/>
  <c r="AH30" i="45"/>
  <c r="AH27" i="45"/>
  <c r="AH31" i="45"/>
  <c r="AH32" i="45"/>
  <c r="AH25" i="45"/>
  <c r="AH33" i="45"/>
  <c r="AH34" i="45"/>
  <c r="AD14" i="45"/>
  <c r="AD15" i="45"/>
  <c r="AD17" i="45"/>
  <c r="AD16" i="45"/>
  <c r="AD10" i="45"/>
  <c r="AD11" i="45"/>
  <c r="AD12" i="45"/>
  <c r="AD13" i="45"/>
  <c r="AD9" i="45"/>
  <c r="AC13" i="45"/>
  <c r="AC11" i="45"/>
  <c r="AC15" i="45"/>
  <c r="AC12" i="45"/>
  <c r="AC10" i="45"/>
  <c r="AC14" i="45"/>
  <c r="AC16" i="45"/>
  <c r="AC17" i="45"/>
  <c r="AC9" i="45"/>
  <c r="AB11" i="45"/>
  <c r="AB14" i="45"/>
  <c r="AB10" i="45"/>
  <c r="AB17" i="45"/>
  <c r="AB16" i="45"/>
  <c r="AB15" i="45"/>
  <c r="AB13" i="45"/>
  <c r="AB12" i="45"/>
  <c r="AB9" i="45"/>
  <c r="V16" i="45"/>
  <c r="L17" i="11" s="1"/>
  <c r="V14" i="45"/>
  <c r="L15" i="11" s="1"/>
  <c r="V15" i="45"/>
  <c r="L16" i="11" s="1"/>
  <c r="V10" i="45"/>
  <c r="L11" i="11" s="1"/>
  <c r="V13" i="45"/>
  <c r="L14" i="11" s="1"/>
  <c r="V12" i="45"/>
  <c r="L13" i="11" s="1"/>
  <c r="V11" i="45"/>
  <c r="L12" i="11" s="1"/>
  <c r="V17" i="45"/>
  <c r="L18" i="11" s="1"/>
  <c r="V9" i="45"/>
  <c r="L10" i="11" s="1"/>
  <c r="M11" i="45"/>
  <c r="C12" i="11" s="1"/>
  <c r="M15" i="45"/>
  <c r="C16" i="11" s="1"/>
  <c r="M10" i="45"/>
  <c r="C11" i="11" s="1"/>
  <c r="M14" i="45"/>
  <c r="C15" i="11" s="1"/>
  <c r="M13" i="45"/>
  <c r="C14" i="11" s="1"/>
  <c r="M17" i="45"/>
  <c r="C18" i="11" s="1"/>
  <c r="M16" i="45"/>
  <c r="C17" i="11" s="1"/>
  <c r="M12" i="45"/>
  <c r="C13" i="11" s="1"/>
  <c r="M9" i="45"/>
  <c r="C10" i="11" s="1"/>
  <c r="N14" i="45"/>
  <c r="D15" i="11" s="1"/>
  <c r="N15" i="45"/>
  <c r="D16" i="11" s="1"/>
  <c r="N16" i="45"/>
  <c r="D17" i="11" s="1"/>
  <c r="N11" i="45"/>
  <c r="D12" i="11" s="1"/>
  <c r="N13" i="45"/>
  <c r="D14" i="11" s="1"/>
  <c r="N17" i="45"/>
  <c r="D18" i="11" s="1"/>
  <c r="N10" i="45"/>
  <c r="D11" i="11" s="1"/>
  <c r="N12" i="45"/>
  <c r="D13" i="11" s="1"/>
  <c r="N9" i="45"/>
  <c r="D10" i="11" s="1"/>
  <c r="Y11" i="45"/>
  <c r="O12" i="11" s="1"/>
  <c r="Y12" i="45"/>
  <c r="O13" i="11" s="1"/>
  <c r="Y13" i="45"/>
  <c r="O14" i="11" s="1"/>
  <c r="Y10" i="45"/>
  <c r="O11" i="11" s="1"/>
  <c r="Y17" i="45"/>
  <c r="O18" i="11" s="1"/>
  <c r="Y16" i="45"/>
  <c r="O17" i="11" s="1"/>
  <c r="Y14" i="45"/>
  <c r="O15" i="11" s="1"/>
  <c r="Y15" i="45"/>
  <c r="O16" i="11" s="1"/>
  <c r="Y9" i="45"/>
  <c r="O10" i="11" s="1"/>
  <c r="W14" i="45"/>
  <c r="M15" i="11" s="1"/>
  <c r="W13" i="45"/>
  <c r="M14" i="11" s="1"/>
  <c r="W10" i="45"/>
  <c r="M11" i="11" s="1"/>
  <c r="W16" i="45"/>
  <c r="M17" i="11" s="1"/>
  <c r="W17" i="45"/>
  <c r="M18" i="11" s="1"/>
  <c r="W11" i="45"/>
  <c r="M12" i="11" s="1"/>
  <c r="W12" i="45"/>
  <c r="M13" i="11" s="1"/>
  <c r="W15" i="45"/>
  <c r="M16" i="11" s="1"/>
  <c r="W9" i="45"/>
  <c r="M10" i="11" s="1"/>
  <c r="AF14" i="45"/>
  <c r="AF15" i="45"/>
  <c r="AF11" i="45"/>
  <c r="AF16" i="45"/>
  <c r="AF17" i="45"/>
  <c r="AF10" i="45"/>
  <c r="AF13" i="45"/>
  <c r="AF12" i="45"/>
  <c r="AF9" i="45"/>
  <c r="AE15" i="45"/>
  <c r="AE11" i="45"/>
  <c r="AE16" i="45"/>
  <c r="AE10" i="45"/>
  <c r="AE17" i="45"/>
  <c r="AE13" i="45"/>
  <c r="AE12" i="45"/>
  <c r="AE14" i="45"/>
  <c r="AE9" i="45"/>
  <c r="Z10" i="45"/>
  <c r="Z14" i="45"/>
  <c r="Z16" i="45"/>
  <c r="Z13" i="45"/>
  <c r="Z15" i="45"/>
  <c r="Z17" i="45"/>
  <c r="P18" i="11" s="1"/>
  <c r="Z12" i="45"/>
  <c r="Z11" i="45"/>
  <c r="P12" i="11" s="1"/>
  <c r="Z9" i="45"/>
  <c r="AI14" i="45"/>
  <c r="AI10" i="45"/>
  <c r="AI17" i="45"/>
  <c r="AI16" i="45"/>
  <c r="AI13" i="45"/>
  <c r="AI11" i="45"/>
  <c r="AI15" i="45"/>
  <c r="AI12" i="45"/>
  <c r="AI9" i="45"/>
  <c r="Q16" i="45"/>
  <c r="G17" i="11" s="1"/>
  <c r="Q17" i="45"/>
  <c r="G18" i="11" s="1"/>
  <c r="Q13" i="45"/>
  <c r="G14" i="11" s="1"/>
  <c r="Q14" i="45"/>
  <c r="G15" i="11" s="1"/>
  <c r="Q12" i="45"/>
  <c r="G13" i="11" s="1"/>
  <c r="Q10" i="45"/>
  <c r="G11" i="11" s="1"/>
  <c r="Q11" i="45"/>
  <c r="G12" i="11" s="1"/>
  <c r="Q15" i="45"/>
  <c r="G16" i="11" s="1"/>
  <c r="Q9" i="45"/>
  <c r="G10" i="11" s="1"/>
  <c r="AG10" i="45"/>
  <c r="AG14" i="45"/>
  <c r="AG16" i="45"/>
  <c r="AG12" i="45"/>
  <c r="AG13" i="45"/>
  <c r="AG11" i="45"/>
  <c r="AG15" i="45"/>
  <c r="AG17" i="45"/>
  <c r="AG9" i="45"/>
  <c r="AA13" i="45"/>
  <c r="AA12" i="45"/>
  <c r="AA11" i="45"/>
  <c r="AA17" i="45"/>
  <c r="AA16" i="45"/>
  <c r="AA14" i="45"/>
  <c r="AA10" i="45"/>
  <c r="AA15" i="45"/>
  <c r="AA9" i="45"/>
  <c r="O10" i="45"/>
  <c r="E11" i="11" s="1"/>
  <c r="O14" i="45"/>
  <c r="E15" i="11" s="1"/>
  <c r="O16" i="45"/>
  <c r="E17" i="11" s="1"/>
  <c r="O13" i="45"/>
  <c r="E14" i="11" s="1"/>
  <c r="O11" i="45"/>
  <c r="E12" i="11" s="1"/>
  <c r="O17" i="45"/>
  <c r="E18" i="11" s="1"/>
  <c r="O12" i="45"/>
  <c r="E13" i="11" s="1"/>
  <c r="O15" i="45"/>
  <c r="E16" i="11" s="1"/>
  <c r="O9" i="45"/>
  <c r="E10" i="11" s="1"/>
  <c r="R14" i="45"/>
  <c r="H15" i="11" s="1"/>
  <c r="R15" i="45"/>
  <c r="H16" i="11" s="1"/>
  <c r="R17" i="45"/>
  <c r="H18" i="11" s="1"/>
  <c r="R12" i="45"/>
  <c r="H13" i="11" s="1"/>
  <c r="R13" i="45"/>
  <c r="H14" i="11" s="1"/>
  <c r="R16" i="45"/>
  <c r="H17" i="11" s="1"/>
  <c r="R11" i="45"/>
  <c r="H12" i="11" s="1"/>
  <c r="R10" i="45"/>
  <c r="H11" i="11" s="1"/>
  <c r="R9" i="45"/>
  <c r="H10" i="11" s="1"/>
  <c r="X14" i="45"/>
  <c r="N15" i="11" s="1"/>
  <c r="X17" i="45"/>
  <c r="N18" i="11" s="1"/>
  <c r="X13" i="45"/>
  <c r="N14" i="11" s="1"/>
  <c r="X12" i="45"/>
  <c r="N13" i="11" s="1"/>
  <c r="X16" i="45"/>
  <c r="N17" i="11" s="1"/>
  <c r="X10" i="45"/>
  <c r="N11" i="11" s="1"/>
  <c r="X15" i="45"/>
  <c r="N16" i="11" s="1"/>
  <c r="X11" i="45"/>
  <c r="N12" i="11" s="1"/>
  <c r="X9" i="45"/>
  <c r="N10" i="11" s="1"/>
  <c r="L13" i="45"/>
  <c r="B14" i="11" s="1"/>
  <c r="L11" i="45"/>
  <c r="B12" i="11" s="1"/>
  <c r="L16" i="45"/>
  <c r="B17" i="11" s="1"/>
  <c r="L12" i="45"/>
  <c r="B13" i="11" s="1"/>
  <c r="L14" i="45"/>
  <c r="B15" i="11" s="1"/>
  <c r="L10" i="45"/>
  <c r="B11" i="11" s="1"/>
  <c r="L17" i="45"/>
  <c r="B18" i="11" s="1"/>
  <c r="L15" i="45"/>
  <c r="B16" i="11" s="1"/>
  <c r="U15" i="45"/>
  <c r="K16" i="11" s="1"/>
  <c r="U11" i="45"/>
  <c r="K12" i="11" s="1"/>
  <c r="U10" i="45"/>
  <c r="K11" i="11" s="1"/>
  <c r="U14" i="45"/>
  <c r="K15" i="11" s="1"/>
  <c r="U16" i="45"/>
  <c r="K17" i="11" s="1"/>
  <c r="U12" i="45"/>
  <c r="K13" i="11" s="1"/>
  <c r="U17" i="45"/>
  <c r="K18" i="11" s="1"/>
  <c r="U13" i="45"/>
  <c r="K14" i="11" s="1"/>
  <c r="U9" i="45"/>
  <c r="K10" i="11" s="1"/>
  <c r="S13" i="45"/>
  <c r="I14" i="11" s="1"/>
  <c r="S16" i="45"/>
  <c r="I17" i="11" s="1"/>
  <c r="S15" i="45"/>
  <c r="I16" i="11" s="1"/>
  <c r="S14" i="45"/>
  <c r="I15" i="11" s="1"/>
  <c r="S17" i="45"/>
  <c r="I18" i="11" s="1"/>
  <c r="S11" i="45"/>
  <c r="I12" i="11" s="1"/>
  <c r="S12" i="45"/>
  <c r="I13" i="11" s="1"/>
  <c r="S10" i="45"/>
  <c r="I11" i="11" s="1"/>
  <c r="S9" i="45"/>
  <c r="I10" i="11" s="1"/>
  <c r="P10" i="45"/>
  <c r="F11" i="11" s="1"/>
  <c r="P17" i="45"/>
  <c r="F18" i="11" s="1"/>
  <c r="P15" i="45"/>
  <c r="F16" i="11" s="1"/>
  <c r="P13" i="45"/>
  <c r="F14" i="11" s="1"/>
  <c r="P12" i="45"/>
  <c r="F13" i="11" s="1"/>
  <c r="P14" i="45"/>
  <c r="F15" i="11" s="1"/>
  <c r="P11" i="45"/>
  <c r="F12" i="11" s="1"/>
  <c r="P16" i="45"/>
  <c r="F17" i="11" s="1"/>
  <c r="P9" i="45"/>
  <c r="F10" i="11" s="1"/>
  <c r="T15" i="45"/>
  <c r="J16" i="11" s="1"/>
  <c r="T16" i="45"/>
  <c r="J17" i="11" s="1"/>
  <c r="T11" i="45"/>
  <c r="J12" i="11" s="1"/>
  <c r="T10" i="45"/>
  <c r="J11" i="11" s="1"/>
  <c r="T13" i="45"/>
  <c r="J14" i="11" s="1"/>
  <c r="T12" i="45"/>
  <c r="J13" i="11" s="1"/>
  <c r="T14" i="45"/>
  <c r="J15" i="11" s="1"/>
  <c r="T17" i="45"/>
  <c r="J18" i="11" s="1"/>
  <c r="T9" i="45"/>
  <c r="J10" i="11" s="1"/>
  <c r="AH14" i="45"/>
  <c r="AH13" i="45"/>
  <c r="AH10" i="45"/>
  <c r="AH12" i="45"/>
  <c r="AH15" i="45"/>
  <c r="AH17" i="45"/>
  <c r="AH16" i="45"/>
  <c r="AH11" i="45"/>
  <c r="AH9" i="45"/>
  <c r="AF55" i="45"/>
  <c r="AF54" i="45"/>
  <c r="AF53" i="45"/>
  <c r="Z54" i="45"/>
  <c r="Q48" i="13" s="1"/>
  <c r="Z55" i="45"/>
  <c r="Q49" i="13" s="1"/>
  <c r="Z53" i="45"/>
  <c r="Q47" i="13" s="1"/>
  <c r="Y55" i="45"/>
  <c r="P49" i="13" s="1"/>
  <c r="Y54" i="45"/>
  <c r="P48" i="13" s="1"/>
  <c r="Y53" i="45"/>
  <c r="P47" i="13" s="1"/>
  <c r="S54" i="45"/>
  <c r="J48" i="13" s="1"/>
  <c r="S55" i="45"/>
  <c r="J49" i="13" s="1"/>
  <c r="S53" i="45"/>
  <c r="J47" i="13" s="1"/>
  <c r="Q54" i="45"/>
  <c r="H48" i="13" s="1"/>
  <c r="Q55" i="45"/>
  <c r="H49" i="13" s="1"/>
  <c r="Q53" i="45"/>
  <c r="H47" i="13" s="1"/>
  <c r="O55" i="45"/>
  <c r="F49" i="13" s="1"/>
  <c r="O54" i="45"/>
  <c r="F48" i="13" s="1"/>
  <c r="O53" i="45"/>
  <c r="F47" i="13" s="1"/>
  <c r="AD54" i="45"/>
  <c r="AD55" i="45"/>
  <c r="AD53" i="45"/>
  <c r="P55" i="45"/>
  <c r="G49" i="13" s="1"/>
  <c r="P54" i="45"/>
  <c r="G48" i="13" s="1"/>
  <c r="P53" i="45"/>
  <c r="G47" i="13" s="1"/>
  <c r="V55" i="45"/>
  <c r="M49" i="13" s="1"/>
  <c r="V54" i="45"/>
  <c r="M48" i="13" s="1"/>
  <c r="V53" i="45"/>
  <c r="M47" i="13" s="1"/>
  <c r="T54" i="45"/>
  <c r="K48" i="13" s="1"/>
  <c r="T55" i="45"/>
  <c r="K49" i="13" s="1"/>
  <c r="T53" i="45"/>
  <c r="K47" i="13" s="1"/>
  <c r="R54" i="45"/>
  <c r="I48" i="13" s="1"/>
  <c r="R55" i="45"/>
  <c r="I49" i="13" s="1"/>
  <c r="R53" i="45"/>
  <c r="I47" i="13" s="1"/>
  <c r="AE55" i="45"/>
  <c r="AE54" i="45"/>
  <c r="AE53" i="45"/>
  <c r="AB54" i="45"/>
  <c r="AB55" i="45"/>
  <c r="AB53" i="45"/>
  <c r="M55" i="45"/>
  <c r="D49" i="13" s="1"/>
  <c r="M54" i="45"/>
  <c r="D48" i="13" s="1"/>
  <c r="M53" i="45"/>
  <c r="D47" i="13" s="1"/>
  <c r="AI54" i="45"/>
  <c r="AI55" i="45"/>
  <c r="AI53" i="45"/>
  <c r="AC55" i="45"/>
  <c r="AC54" i="45"/>
  <c r="AC53" i="45"/>
  <c r="W55" i="45"/>
  <c r="N49" i="13" s="1"/>
  <c r="W54" i="45"/>
  <c r="N48" i="13" s="1"/>
  <c r="W53" i="45"/>
  <c r="N47" i="13" s="1"/>
  <c r="L54" i="45"/>
  <c r="L55" i="45"/>
  <c r="U54" i="45"/>
  <c r="L48" i="13" s="1"/>
  <c r="U55" i="45"/>
  <c r="L49" i="13" s="1"/>
  <c r="U53" i="45"/>
  <c r="L47" i="13" s="1"/>
  <c r="AH54" i="45"/>
  <c r="AH55" i="45"/>
  <c r="AH53" i="45"/>
  <c r="AG55" i="45"/>
  <c r="AG54" i="45"/>
  <c r="AG53" i="45"/>
  <c r="AA54" i="45"/>
  <c r="AA55" i="45"/>
  <c r="AA53" i="45"/>
  <c r="X55" i="45"/>
  <c r="O49" i="13" s="1"/>
  <c r="X54" i="45"/>
  <c r="O48" i="13" s="1"/>
  <c r="X53" i="45"/>
  <c r="O47" i="13" s="1"/>
  <c r="N55" i="45"/>
  <c r="E49" i="13" s="1"/>
  <c r="N54" i="45"/>
  <c r="E48" i="13" s="1"/>
  <c r="N53" i="45"/>
  <c r="E47" i="13" s="1"/>
  <c r="C71" i="46"/>
  <c r="C31" i="13" s="1"/>
  <c r="H71" i="46"/>
  <c r="H31" i="13" s="1"/>
  <c r="L26" i="45"/>
  <c r="C11" i="13" s="1"/>
  <c r="AG8" i="45"/>
  <c r="AA8" i="45"/>
  <c r="O8" i="45"/>
  <c r="E9" i="11" s="1"/>
  <c r="X8" i="45"/>
  <c r="N9" i="11" s="1"/>
  <c r="L9" i="45"/>
  <c r="B10" i="11" s="1"/>
  <c r="U8" i="45"/>
  <c r="K9" i="11" s="1"/>
  <c r="P8" i="45"/>
  <c r="F9" i="11" s="1"/>
  <c r="S8" i="45"/>
  <c r="I9" i="11" s="1"/>
  <c r="AD8" i="45"/>
  <c r="AC8" i="45"/>
  <c r="AB8" i="45"/>
  <c r="T8" i="45"/>
  <c r="J9" i="11" s="1"/>
  <c r="V8" i="45"/>
  <c r="L9" i="11" s="1"/>
  <c r="AH8" i="45"/>
  <c r="M8" i="45"/>
  <c r="C9" i="11" s="1"/>
  <c r="N8" i="45"/>
  <c r="D9" i="11" s="1"/>
  <c r="Y8" i="45"/>
  <c r="O9" i="11" s="1"/>
  <c r="W8" i="45"/>
  <c r="M9" i="11" s="1"/>
  <c r="AF8" i="45"/>
  <c r="AE8" i="45"/>
  <c r="Z8" i="45"/>
  <c r="P9" i="11" s="1"/>
  <c r="R8" i="45"/>
  <c r="H9" i="11" s="1"/>
  <c r="AI8" i="45"/>
  <c r="Q8" i="45"/>
  <c r="G9" i="11" s="1"/>
  <c r="AH48" i="45"/>
  <c r="F71" i="46"/>
  <c r="F31" i="13" s="1"/>
  <c r="L71" i="46"/>
  <c r="L31" i="13" s="1"/>
  <c r="J71" i="46"/>
  <c r="J31" i="13" s="1"/>
  <c r="K71" i="46"/>
  <c r="K31" i="13" s="1"/>
  <c r="AH50" i="45"/>
  <c r="AH52" i="45"/>
  <c r="AH39" i="45"/>
  <c r="AH44" i="45"/>
  <c r="AH36" i="45"/>
  <c r="AH47" i="45"/>
  <c r="AH38" i="45"/>
  <c r="AH37" i="45"/>
  <c r="AH40" i="45"/>
  <c r="AH41" i="45"/>
  <c r="AH51" i="45"/>
  <c r="AH45" i="45"/>
  <c r="AH49" i="45"/>
  <c r="AH42" i="45"/>
  <c r="E71" i="46"/>
  <c r="E31" i="13" s="1"/>
  <c r="G71" i="46"/>
  <c r="G31" i="13" s="1"/>
  <c r="K60" i="46"/>
  <c r="K8" i="13" s="1"/>
  <c r="I71" i="46"/>
  <c r="I31" i="13" s="1"/>
  <c r="D71" i="46"/>
  <c r="D31" i="13" s="1"/>
  <c r="D60" i="46"/>
  <c r="D8" i="13" s="1"/>
  <c r="F97" i="46"/>
  <c r="F32" i="13" s="1"/>
  <c r="M74" i="46"/>
  <c r="M100" i="46" s="1"/>
  <c r="M73" i="46"/>
  <c r="M99" i="46" s="1"/>
  <c r="M63" i="46"/>
  <c r="M89" i="46" s="1"/>
  <c r="M69" i="46"/>
  <c r="M95" i="46" s="1"/>
  <c r="M67" i="46"/>
  <c r="M93" i="46" s="1"/>
  <c r="M61" i="46"/>
  <c r="M87" i="46" s="1"/>
  <c r="M68" i="46"/>
  <c r="M94" i="46" s="1"/>
  <c r="M66" i="46"/>
  <c r="M92" i="46" s="1"/>
  <c r="M70" i="46"/>
  <c r="M96" i="46" s="1"/>
  <c r="M65" i="46"/>
  <c r="M91" i="46" s="1"/>
  <c r="M64" i="46"/>
  <c r="M90" i="46" s="1"/>
  <c r="P27" i="46"/>
  <c r="P26" i="46"/>
  <c r="P31" i="46"/>
  <c r="P30" i="46"/>
  <c r="P25" i="46"/>
  <c r="P28" i="46"/>
  <c r="P29" i="46"/>
  <c r="P21" i="46"/>
  <c r="P18" i="46"/>
  <c r="P23" i="46"/>
  <c r="P11" i="46"/>
  <c r="P15" i="46"/>
  <c r="P22" i="46"/>
  <c r="P19" i="46"/>
  <c r="P12" i="46"/>
  <c r="P14" i="46"/>
  <c r="P13" i="46"/>
  <c r="P10" i="46"/>
  <c r="P16" i="46"/>
  <c r="P17" i="46"/>
  <c r="L60" i="46"/>
  <c r="L8" i="13" s="1"/>
  <c r="L86" i="46"/>
  <c r="L9" i="13" s="1"/>
  <c r="I86" i="46"/>
  <c r="I9" i="13" s="1"/>
  <c r="K86" i="46"/>
  <c r="K9" i="13" s="1"/>
  <c r="O20" i="33"/>
  <c r="O26" i="33" s="1"/>
  <c r="G60" i="46"/>
  <c r="G86" i="46"/>
  <c r="G9" i="13" s="1"/>
  <c r="I60" i="46"/>
  <c r="J60" i="46"/>
  <c r="J8" i="13" s="1"/>
  <c r="J86" i="46"/>
  <c r="J9" i="13" s="1"/>
  <c r="E86" i="46"/>
  <c r="E9" i="13" s="1"/>
  <c r="H86" i="46"/>
  <c r="O9" i="46"/>
  <c r="J101" i="46"/>
  <c r="J40" i="13" s="1"/>
  <c r="V41" i="45"/>
  <c r="M25" i="13" s="1"/>
  <c r="V37" i="45"/>
  <c r="M21" i="13" s="1"/>
  <c r="V38" i="45"/>
  <c r="M22" i="13" s="1"/>
  <c r="V48" i="45"/>
  <c r="M42" i="13" s="1"/>
  <c r="V49" i="45"/>
  <c r="M43" i="13" s="1"/>
  <c r="V44" i="45"/>
  <c r="M33" i="13" s="1"/>
  <c r="V42" i="45"/>
  <c r="V45" i="45"/>
  <c r="M34" i="13" s="1"/>
  <c r="V40" i="45"/>
  <c r="M24" i="13" s="1"/>
  <c r="V36" i="45"/>
  <c r="M20" i="13" s="1"/>
  <c r="V50" i="45"/>
  <c r="M44" i="13" s="1"/>
  <c r="V51" i="45"/>
  <c r="M45" i="13" s="1"/>
  <c r="V52" i="45"/>
  <c r="M46" i="13" s="1"/>
  <c r="V39" i="45"/>
  <c r="M23" i="13" s="1"/>
  <c r="V47" i="45"/>
  <c r="M41" i="13" s="1"/>
  <c r="P45" i="45"/>
  <c r="G34" i="13" s="1"/>
  <c r="P48" i="45"/>
  <c r="G42" i="13" s="1"/>
  <c r="P44" i="45"/>
  <c r="G33" i="13" s="1"/>
  <c r="P40" i="45"/>
  <c r="G24" i="13" s="1"/>
  <c r="P49" i="45"/>
  <c r="G43" i="13" s="1"/>
  <c r="P38" i="45"/>
  <c r="G22" i="13" s="1"/>
  <c r="P37" i="45"/>
  <c r="G21" i="13" s="1"/>
  <c r="P39" i="45"/>
  <c r="G23" i="13" s="1"/>
  <c r="P52" i="45"/>
  <c r="G46" i="13" s="1"/>
  <c r="P41" i="45"/>
  <c r="G25" i="13" s="1"/>
  <c r="P42" i="45"/>
  <c r="P36" i="45"/>
  <c r="G20" i="13" s="1"/>
  <c r="P51" i="45"/>
  <c r="G45" i="13" s="1"/>
  <c r="P47" i="45"/>
  <c r="G41" i="13" s="1"/>
  <c r="P50" i="45"/>
  <c r="G44" i="13" s="1"/>
  <c r="L101" i="46"/>
  <c r="O48" i="45"/>
  <c r="F42" i="13" s="1"/>
  <c r="O44" i="45"/>
  <c r="F33" i="13" s="1"/>
  <c r="O41" i="45"/>
  <c r="F25" i="13" s="1"/>
  <c r="O39" i="45"/>
  <c r="F23" i="13" s="1"/>
  <c r="O36" i="45"/>
  <c r="F20" i="13" s="1"/>
  <c r="O45" i="45"/>
  <c r="F34" i="13" s="1"/>
  <c r="O37" i="45"/>
  <c r="F21" i="13" s="1"/>
  <c r="O42" i="45"/>
  <c r="O52" i="45"/>
  <c r="F46" i="13" s="1"/>
  <c r="O38" i="45"/>
  <c r="F22" i="13" s="1"/>
  <c r="O51" i="45"/>
  <c r="F45" i="13" s="1"/>
  <c r="O40" i="45"/>
  <c r="F24" i="13" s="1"/>
  <c r="O49" i="45"/>
  <c r="F43" i="13" s="1"/>
  <c r="O50" i="45"/>
  <c r="F44" i="13" s="1"/>
  <c r="O47" i="45"/>
  <c r="F41" i="13" s="1"/>
  <c r="T44" i="45"/>
  <c r="K33" i="13" s="1"/>
  <c r="T48" i="45"/>
  <c r="K42" i="13" s="1"/>
  <c r="T42" i="45"/>
  <c r="T52" i="45"/>
  <c r="K46" i="13" s="1"/>
  <c r="T51" i="45"/>
  <c r="K45" i="13" s="1"/>
  <c r="T47" i="45"/>
  <c r="K41" i="13" s="1"/>
  <c r="T45" i="45"/>
  <c r="K34" i="13" s="1"/>
  <c r="T49" i="45"/>
  <c r="K43" i="13" s="1"/>
  <c r="T36" i="45"/>
  <c r="K20" i="13" s="1"/>
  <c r="T41" i="45"/>
  <c r="K25" i="13" s="1"/>
  <c r="T39" i="45"/>
  <c r="K23" i="13" s="1"/>
  <c r="T38" i="45"/>
  <c r="K22" i="13" s="1"/>
  <c r="T50" i="45"/>
  <c r="K44" i="13" s="1"/>
  <c r="T37" i="45"/>
  <c r="K21" i="13" s="1"/>
  <c r="T40" i="45"/>
  <c r="K24" i="13" s="1"/>
  <c r="F101" i="46"/>
  <c r="F40" i="13" s="1"/>
  <c r="AD48" i="45"/>
  <c r="AD44" i="45"/>
  <c r="AD45" i="45"/>
  <c r="AD40" i="45"/>
  <c r="AD37" i="45"/>
  <c r="AD42" i="45"/>
  <c r="AD49" i="45"/>
  <c r="AD36" i="45"/>
  <c r="AD41" i="45"/>
  <c r="AD39" i="45"/>
  <c r="AD52" i="45"/>
  <c r="AD51" i="45"/>
  <c r="AD47" i="45"/>
  <c r="AD38" i="45"/>
  <c r="AD50" i="45"/>
  <c r="Q48" i="45"/>
  <c r="H42" i="13" s="1"/>
  <c r="Q42" i="45"/>
  <c r="Q40" i="45"/>
  <c r="H24" i="13" s="1"/>
  <c r="Q50" i="45"/>
  <c r="H44" i="13" s="1"/>
  <c r="Q49" i="45"/>
  <c r="H43" i="13" s="1"/>
  <c r="Q44" i="45"/>
  <c r="H33" i="13" s="1"/>
  <c r="Q52" i="45"/>
  <c r="H46" i="13" s="1"/>
  <c r="Q38" i="45"/>
  <c r="H22" i="13" s="1"/>
  <c r="Q51" i="45"/>
  <c r="H45" i="13" s="1"/>
  <c r="Q45" i="45"/>
  <c r="H34" i="13" s="1"/>
  <c r="Q37" i="45"/>
  <c r="H21" i="13" s="1"/>
  <c r="Q47" i="45"/>
  <c r="H41" i="13" s="1"/>
  <c r="Q41" i="45"/>
  <c r="H25" i="13" s="1"/>
  <c r="Q39" i="45"/>
  <c r="H23" i="13" s="1"/>
  <c r="Q36" i="45"/>
  <c r="H20" i="13" s="1"/>
  <c r="Z37" i="45"/>
  <c r="Q21" i="13" s="1"/>
  <c r="Z42" i="45"/>
  <c r="Z41" i="45"/>
  <c r="Q25" i="13" s="1"/>
  <c r="Z49" i="45"/>
  <c r="Q43" i="13" s="1"/>
  <c r="Z48" i="45"/>
  <c r="Q42" i="13" s="1"/>
  <c r="Z51" i="45"/>
  <c r="Q45" i="13" s="1"/>
  <c r="Z36" i="45"/>
  <c r="Q20" i="13" s="1"/>
  <c r="Z52" i="45"/>
  <c r="Q46" i="13" s="1"/>
  <c r="Z45" i="45"/>
  <c r="Q34" i="13" s="1"/>
  <c r="Z40" i="45"/>
  <c r="Q24" i="13" s="1"/>
  <c r="Z47" i="45"/>
  <c r="Q41" i="13" s="1"/>
  <c r="Z44" i="45"/>
  <c r="Q33" i="13" s="1"/>
  <c r="Z39" i="45"/>
  <c r="Q23" i="13" s="1"/>
  <c r="Z50" i="45"/>
  <c r="Q44" i="13" s="1"/>
  <c r="Z38" i="45"/>
  <c r="Q22" i="13" s="1"/>
  <c r="AA44" i="45"/>
  <c r="AA39" i="45"/>
  <c r="AA37" i="45"/>
  <c r="AA51" i="45"/>
  <c r="AA50" i="45"/>
  <c r="AA40" i="45"/>
  <c r="AA48" i="45"/>
  <c r="AA49" i="45"/>
  <c r="AA36" i="45"/>
  <c r="AA42" i="45"/>
  <c r="AA41" i="45"/>
  <c r="AA45" i="45"/>
  <c r="AA52" i="45"/>
  <c r="AA38" i="45"/>
  <c r="AA47" i="45"/>
  <c r="N42" i="45"/>
  <c r="N37" i="45"/>
  <c r="N45" i="45"/>
  <c r="E34" i="13" s="1"/>
  <c r="N50" i="45"/>
  <c r="E44" i="13" s="1"/>
  <c r="N48" i="45"/>
  <c r="E42" i="13" s="1"/>
  <c r="N41" i="45"/>
  <c r="N49" i="45"/>
  <c r="E43" i="13" s="1"/>
  <c r="N36" i="45"/>
  <c r="N39" i="45"/>
  <c r="N52" i="45"/>
  <c r="E46" i="13" s="1"/>
  <c r="N40" i="45"/>
  <c r="N38" i="45"/>
  <c r="N51" i="45"/>
  <c r="E45" i="13" s="1"/>
  <c r="N47" i="45"/>
  <c r="E41" i="13" s="1"/>
  <c r="N44" i="45"/>
  <c r="E33" i="13" s="1"/>
  <c r="AE45" i="45"/>
  <c r="AE49" i="45"/>
  <c r="AE42" i="45"/>
  <c r="AE44" i="45"/>
  <c r="AE41" i="45"/>
  <c r="AE39" i="45"/>
  <c r="AE36" i="45"/>
  <c r="AE37" i="45"/>
  <c r="AE48" i="45"/>
  <c r="AE40" i="45"/>
  <c r="AE50" i="45"/>
  <c r="AE38" i="45"/>
  <c r="AE51" i="45"/>
  <c r="AE47" i="45"/>
  <c r="AE52" i="45"/>
  <c r="W48" i="45"/>
  <c r="N42" i="13" s="1"/>
  <c r="W37" i="45"/>
  <c r="N21" i="13" s="1"/>
  <c r="W50" i="45"/>
  <c r="N44" i="13" s="1"/>
  <c r="W44" i="45"/>
  <c r="N33" i="13" s="1"/>
  <c r="W45" i="45"/>
  <c r="N34" i="13" s="1"/>
  <c r="W39" i="45"/>
  <c r="N23" i="13" s="1"/>
  <c r="W42" i="45"/>
  <c r="W41" i="45"/>
  <c r="N25" i="13" s="1"/>
  <c r="W52" i="45"/>
  <c r="N46" i="13" s="1"/>
  <c r="W38" i="45"/>
  <c r="N22" i="13" s="1"/>
  <c r="W51" i="45"/>
  <c r="N45" i="13" s="1"/>
  <c r="W49" i="45"/>
  <c r="N43" i="13" s="1"/>
  <c r="W40" i="45"/>
  <c r="N24" i="13" s="1"/>
  <c r="W36" i="45"/>
  <c r="N20" i="13" s="1"/>
  <c r="W47" i="45"/>
  <c r="N41" i="13" s="1"/>
  <c r="X37" i="45"/>
  <c r="O21" i="13" s="1"/>
  <c r="X49" i="45"/>
  <c r="O43" i="13" s="1"/>
  <c r="X45" i="45"/>
  <c r="O34" i="13" s="1"/>
  <c r="X48" i="45"/>
  <c r="O42" i="13" s="1"/>
  <c r="X44" i="45"/>
  <c r="O33" i="13" s="1"/>
  <c r="X50" i="45"/>
  <c r="O44" i="13" s="1"/>
  <c r="X36" i="45"/>
  <c r="O20" i="13" s="1"/>
  <c r="X40" i="45"/>
  <c r="O24" i="13" s="1"/>
  <c r="X38" i="45"/>
  <c r="O22" i="13" s="1"/>
  <c r="X39" i="45"/>
  <c r="O23" i="13" s="1"/>
  <c r="X52" i="45"/>
  <c r="O46" i="13" s="1"/>
  <c r="X51" i="45"/>
  <c r="O45" i="13" s="1"/>
  <c r="X42" i="45"/>
  <c r="X47" i="45"/>
  <c r="O41" i="13" s="1"/>
  <c r="X41" i="45"/>
  <c r="O25" i="13" s="1"/>
  <c r="R42" i="45"/>
  <c r="R50" i="45"/>
  <c r="I44" i="13" s="1"/>
  <c r="R37" i="45"/>
  <c r="I21" i="13" s="1"/>
  <c r="R48" i="45"/>
  <c r="I42" i="13" s="1"/>
  <c r="R38" i="45"/>
  <c r="I22" i="13" s="1"/>
  <c r="R41" i="45"/>
  <c r="I25" i="13" s="1"/>
  <c r="R52" i="45"/>
  <c r="I46" i="13" s="1"/>
  <c r="R49" i="45"/>
  <c r="I43" i="13" s="1"/>
  <c r="R36" i="45"/>
  <c r="I20" i="13" s="1"/>
  <c r="R40" i="45"/>
  <c r="I24" i="13" s="1"/>
  <c r="R44" i="45"/>
  <c r="I33" i="13" s="1"/>
  <c r="R51" i="45"/>
  <c r="I45" i="13" s="1"/>
  <c r="R39" i="45"/>
  <c r="I23" i="13" s="1"/>
  <c r="R45" i="45"/>
  <c r="I34" i="13" s="1"/>
  <c r="R47" i="45"/>
  <c r="I41" i="13" s="1"/>
  <c r="M101" i="46"/>
  <c r="I101" i="46"/>
  <c r="I40" i="13" s="1"/>
  <c r="K101" i="46"/>
  <c r="K40" i="13" s="1"/>
  <c r="AI37" i="45"/>
  <c r="AI49" i="45"/>
  <c r="AI51" i="45"/>
  <c r="AI44" i="45"/>
  <c r="AI41" i="45"/>
  <c r="AI38" i="45"/>
  <c r="AI52" i="45"/>
  <c r="AI48" i="45"/>
  <c r="AI39" i="45"/>
  <c r="AI40" i="45"/>
  <c r="AI42" i="45"/>
  <c r="AI47" i="45"/>
  <c r="AI36" i="45"/>
  <c r="AI45" i="45"/>
  <c r="AI50" i="45"/>
  <c r="AG49" i="45"/>
  <c r="AG42" i="45"/>
  <c r="AG48" i="45"/>
  <c r="AG37" i="45"/>
  <c r="AG39" i="45"/>
  <c r="AG45" i="45"/>
  <c r="AG44" i="45"/>
  <c r="AG36" i="45"/>
  <c r="AG38" i="45"/>
  <c r="AG52" i="45"/>
  <c r="AG40" i="45"/>
  <c r="AG51" i="45"/>
  <c r="AG47" i="45"/>
  <c r="AG41" i="45"/>
  <c r="AG50" i="45"/>
  <c r="AC48" i="45"/>
  <c r="AC39" i="45"/>
  <c r="AC52" i="45"/>
  <c r="AC40" i="45"/>
  <c r="AC47" i="45"/>
  <c r="AC37" i="45"/>
  <c r="AC42" i="45"/>
  <c r="AC45" i="45"/>
  <c r="AC44" i="45"/>
  <c r="AC36" i="45"/>
  <c r="AC41" i="45"/>
  <c r="AC50" i="45"/>
  <c r="AC49" i="45"/>
  <c r="AC38" i="45"/>
  <c r="AC51" i="45"/>
  <c r="U45" i="45"/>
  <c r="L34" i="13" s="1"/>
  <c r="U48" i="45"/>
  <c r="L42" i="13" s="1"/>
  <c r="U49" i="45"/>
  <c r="L43" i="13" s="1"/>
  <c r="U36" i="45"/>
  <c r="L20" i="13" s="1"/>
  <c r="U52" i="45"/>
  <c r="L46" i="13" s="1"/>
  <c r="U37" i="45"/>
  <c r="L21" i="13" s="1"/>
  <c r="U42" i="45"/>
  <c r="U40" i="45"/>
  <c r="L24" i="13" s="1"/>
  <c r="U44" i="45"/>
  <c r="L33" i="13" s="1"/>
  <c r="U50" i="45"/>
  <c r="L44" i="13" s="1"/>
  <c r="U38" i="45"/>
  <c r="L22" i="13" s="1"/>
  <c r="U39" i="45"/>
  <c r="L23" i="13" s="1"/>
  <c r="U51" i="45"/>
  <c r="L45" i="13" s="1"/>
  <c r="U47" i="45"/>
  <c r="L41" i="13" s="1"/>
  <c r="U41" i="45"/>
  <c r="L25" i="13" s="1"/>
  <c r="D101" i="46"/>
  <c r="D40" i="13" s="1"/>
  <c r="Y37" i="45"/>
  <c r="P21" i="13" s="1"/>
  <c r="Y49" i="45"/>
  <c r="P43" i="13" s="1"/>
  <c r="Y42" i="45"/>
  <c r="Y36" i="45"/>
  <c r="P20" i="13" s="1"/>
  <c r="Y39" i="45"/>
  <c r="P23" i="13" s="1"/>
  <c r="Y52" i="45"/>
  <c r="P46" i="13" s="1"/>
  <c r="Y48" i="45"/>
  <c r="P42" i="13" s="1"/>
  <c r="Y44" i="45"/>
  <c r="P33" i="13" s="1"/>
  <c r="Y45" i="45"/>
  <c r="P34" i="13" s="1"/>
  <c r="Y41" i="45"/>
  <c r="P25" i="13" s="1"/>
  <c r="Y38" i="45"/>
  <c r="P22" i="13" s="1"/>
  <c r="Y51" i="45"/>
  <c r="P45" i="13" s="1"/>
  <c r="Y50" i="45"/>
  <c r="P44" i="13" s="1"/>
  <c r="Y40" i="45"/>
  <c r="P24" i="13" s="1"/>
  <c r="Y47" i="45"/>
  <c r="P41" i="13" s="1"/>
  <c r="AB42" i="45"/>
  <c r="AB37" i="45"/>
  <c r="AB51" i="45"/>
  <c r="AB36" i="45"/>
  <c r="AB39" i="45"/>
  <c r="AB41" i="45"/>
  <c r="AB48" i="45"/>
  <c r="AB49" i="45"/>
  <c r="AB44" i="45"/>
  <c r="AB38" i="45"/>
  <c r="AB40" i="45"/>
  <c r="AB52" i="45"/>
  <c r="AB50" i="45"/>
  <c r="AB47" i="45"/>
  <c r="AB45" i="45"/>
  <c r="M48" i="45"/>
  <c r="D42" i="13" s="1"/>
  <c r="M44" i="45"/>
  <c r="D33" i="13" s="1"/>
  <c r="M39" i="45"/>
  <c r="M40" i="45"/>
  <c r="M37" i="45"/>
  <c r="M42" i="45"/>
  <c r="M49" i="45"/>
  <c r="D43" i="13" s="1"/>
  <c r="M36" i="45"/>
  <c r="M38" i="45"/>
  <c r="M51" i="45"/>
  <c r="D45" i="13" s="1"/>
  <c r="M45" i="45"/>
  <c r="D34" i="13" s="1"/>
  <c r="M41" i="45"/>
  <c r="M52" i="45"/>
  <c r="D46" i="13" s="1"/>
  <c r="M50" i="45"/>
  <c r="D44" i="13" s="1"/>
  <c r="M47" i="45"/>
  <c r="D41" i="13" s="1"/>
  <c r="AF37" i="45"/>
  <c r="AF42" i="45"/>
  <c r="AF45" i="45"/>
  <c r="AF51" i="45"/>
  <c r="AF47" i="45"/>
  <c r="AF49" i="45"/>
  <c r="AF48" i="45"/>
  <c r="AF44" i="45"/>
  <c r="AF38" i="45"/>
  <c r="AF36" i="45"/>
  <c r="AF41" i="45"/>
  <c r="AF40" i="45"/>
  <c r="AF39" i="45"/>
  <c r="AF50" i="45"/>
  <c r="AF52" i="45"/>
  <c r="S42" i="45"/>
  <c r="S37" i="45"/>
  <c r="J21" i="13" s="1"/>
  <c r="S45" i="45"/>
  <c r="J34" i="13" s="1"/>
  <c r="S50" i="45"/>
  <c r="J44" i="13" s="1"/>
  <c r="S41" i="45"/>
  <c r="J25" i="13" s="1"/>
  <c r="S38" i="45"/>
  <c r="J22" i="13" s="1"/>
  <c r="S48" i="45"/>
  <c r="J42" i="13" s="1"/>
  <c r="S52" i="45"/>
  <c r="J46" i="13" s="1"/>
  <c r="S40" i="45"/>
  <c r="J24" i="13" s="1"/>
  <c r="S49" i="45"/>
  <c r="J43" i="13" s="1"/>
  <c r="S39" i="45"/>
  <c r="J23" i="13" s="1"/>
  <c r="S44" i="45"/>
  <c r="J33" i="13" s="1"/>
  <c r="S36" i="45"/>
  <c r="J20" i="13" s="1"/>
  <c r="S51" i="45"/>
  <c r="J45" i="13" s="1"/>
  <c r="S47" i="45"/>
  <c r="J41" i="13" s="1"/>
  <c r="L49" i="45"/>
  <c r="L44" i="45"/>
  <c r="L45" i="45"/>
  <c r="L39" i="45"/>
  <c r="L36" i="45"/>
  <c r="L53" i="45"/>
  <c r="L52" i="45"/>
  <c r="L40" i="45"/>
  <c r="L42" i="45"/>
  <c r="L51" i="45"/>
  <c r="L37" i="45"/>
  <c r="C60" i="13" s="1"/>
  <c r="L50" i="45"/>
  <c r="L48" i="45"/>
  <c r="L41" i="45"/>
  <c r="L47" i="45"/>
  <c r="L38" i="45"/>
  <c r="G101" i="46"/>
  <c r="G40" i="13" s="1"/>
  <c r="E101" i="46"/>
  <c r="E40" i="13" s="1"/>
  <c r="O113" i="46"/>
  <c r="N38" i="46"/>
  <c r="N36" i="46"/>
  <c r="N40" i="46"/>
  <c r="N55" i="46"/>
  <c r="N80" i="46" s="1"/>
  <c r="N106" i="46" s="1"/>
  <c r="N56" i="46"/>
  <c r="N81" i="46" s="1"/>
  <c r="N107" i="46" s="1"/>
  <c r="N53" i="46"/>
  <c r="N78" i="46" s="1"/>
  <c r="N104" i="46" s="1"/>
  <c r="N51" i="46"/>
  <c r="N76" i="46" s="1"/>
  <c r="N102" i="46" s="1"/>
  <c r="N41" i="46"/>
  <c r="N42" i="46"/>
  <c r="N48" i="46"/>
  <c r="N45" i="46"/>
  <c r="N57" i="46"/>
  <c r="N82" i="46" s="1"/>
  <c r="N108" i="46" s="1"/>
  <c r="N47" i="46"/>
  <c r="N39" i="46"/>
  <c r="N43" i="46"/>
  <c r="N54" i="46"/>
  <c r="N79" i="46" s="1"/>
  <c r="N105" i="46" s="1"/>
  <c r="N37" i="46"/>
  <c r="N44" i="46"/>
  <c r="N52" i="46"/>
  <c r="N77" i="46" s="1"/>
  <c r="N103" i="46" s="1"/>
  <c r="N49" i="46"/>
  <c r="F86" i="46"/>
  <c r="F9" i="13" s="1"/>
  <c r="G97" i="46"/>
  <c r="G32" i="13" s="1"/>
  <c r="J97" i="46"/>
  <c r="J32" i="13" s="1"/>
  <c r="L97" i="46"/>
  <c r="L32" i="13" s="1"/>
  <c r="D97" i="46"/>
  <c r="D32" i="13" s="1"/>
  <c r="I97" i="46"/>
  <c r="I32" i="13" s="1"/>
  <c r="H97" i="46"/>
  <c r="H32" i="13" s="1"/>
  <c r="K97" i="46"/>
  <c r="K32" i="13" s="1"/>
  <c r="E97" i="46"/>
  <c r="E32" i="13" s="1"/>
  <c r="O112" i="46"/>
  <c r="O4" i="46"/>
  <c r="P1" i="46"/>
  <c r="F75" i="46"/>
  <c r="F39" i="13" s="1"/>
  <c r="L75" i="46"/>
  <c r="L39" i="13" s="1"/>
  <c r="I75" i="46"/>
  <c r="I39" i="13" s="1"/>
  <c r="G75" i="46"/>
  <c r="G39" i="13" s="1"/>
  <c r="E75" i="46"/>
  <c r="E39" i="13" s="1"/>
  <c r="K75" i="46"/>
  <c r="K39" i="13" s="1"/>
  <c r="J75" i="46"/>
  <c r="J39" i="13" s="1"/>
  <c r="M75" i="46"/>
  <c r="M39" i="13" s="1"/>
  <c r="D75" i="46"/>
  <c r="D39" i="13" s="1"/>
  <c r="E60" i="46"/>
  <c r="E8" i="13" s="1"/>
  <c r="H60" i="46"/>
  <c r="H8" i="13" s="1"/>
  <c r="C60" i="46"/>
  <c r="C8" i="13" s="1"/>
  <c r="F60" i="46"/>
  <c r="F8" i="13" s="1"/>
  <c r="Q3" i="46"/>
  <c r="P2" i="46"/>
  <c r="O24" i="46"/>
  <c r="O20" i="46"/>
  <c r="N32" i="46"/>
  <c r="O21" i="33"/>
  <c r="O27" i="33" s="1"/>
  <c r="L25" i="45"/>
  <c r="C10" i="13" s="1"/>
  <c r="AJ58" i="45"/>
  <c r="AJ59" i="45"/>
  <c r="BB5" i="29"/>
  <c r="C99" i="46"/>
  <c r="H40" i="13"/>
  <c r="L22" i="25"/>
  <c r="M26" i="13"/>
  <c r="M63" i="13" s="1"/>
  <c r="C41" i="13"/>
  <c r="C40" i="13"/>
  <c r="U22" i="20"/>
  <c r="P15" i="33"/>
  <c r="Q3" i="33"/>
  <c r="Q13" i="33" s="1"/>
  <c r="O4" i="33"/>
  <c r="P2" i="33"/>
  <c r="P14" i="33"/>
  <c r="P1" i="33"/>
  <c r="N25" i="33"/>
  <c r="N28" i="33" s="1"/>
  <c r="N12" i="48" s="1"/>
  <c r="N22" i="33"/>
  <c r="O19" i="33"/>
  <c r="O16" i="33"/>
  <c r="O13" i="48" s="1"/>
  <c r="C39" i="13"/>
  <c r="Q3" i="11"/>
  <c r="P2" i="11"/>
  <c r="P1" i="11"/>
  <c r="O4" i="11"/>
  <c r="L8" i="45"/>
  <c r="B9" i="11" s="1"/>
  <c r="W2" i="20"/>
  <c r="X3" i="20"/>
  <c r="V4" i="20"/>
  <c r="V21" i="20" s="1"/>
  <c r="W1" i="20"/>
  <c r="P2" i="19"/>
  <c r="Q3" i="19"/>
  <c r="O4" i="19"/>
  <c r="P1" i="19"/>
  <c r="O2" i="25"/>
  <c r="P3" i="25"/>
  <c r="O1" i="25"/>
  <c r="N4" i="25"/>
  <c r="Q2" i="13"/>
  <c r="R3" i="13"/>
  <c r="P4" i="13"/>
  <c r="Q1" i="13"/>
  <c r="AK2" i="45"/>
  <c r="AL3" i="45"/>
  <c r="AK1" i="45"/>
  <c r="AJ4" i="45"/>
  <c r="S3" i="29"/>
  <c r="R2" i="29"/>
  <c r="R1" i="29"/>
  <c r="Q4" i="29"/>
  <c r="Q2" i="10"/>
  <c r="R3" i="10"/>
  <c r="P4" i="10"/>
  <c r="Q1" i="10"/>
  <c r="AJ21" i="45"/>
  <c r="AJ20" i="45"/>
  <c r="O4" i="24"/>
  <c r="P1" i="24"/>
  <c r="P2" i="24"/>
  <c r="Q3" i="24"/>
  <c r="I58" i="13" l="1"/>
  <c r="R24" i="13"/>
  <c r="R22" i="13"/>
  <c r="R20" i="13"/>
  <c r="R25" i="13"/>
  <c r="R21" i="13"/>
  <c r="R23" i="13"/>
  <c r="F58" i="13"/>
  <c r="F19" i="49" s="1"/>
  <c r="P15" i="11"/>
  <c r="E58" i="13"/>
  <c r="E19" i="49" s="1"/>
  <c r="K58" i="13"/>
  <c r="K19" i="49" s="1"/>
  <c r="N58" i="13"/>
  <c r="N19" i="49" s="1"/>
  <c r="L58" i="13"/>
  <c r="M58" i="13"/>
  <c r="M19" i="49" s="1"/>
  <c r="H58" i="13"/>
  <c r="H19" i="49" s="1"/>
  <c r="G58" i="13"/>
  <c r="G19" i="49" s="1"/>
  <c r="J58" i="13"/>
  <c r="D58" i="13"/>
  <c r="O58" i="13"/>
  <c r="P17" i="11"/>
  <c r="P10" i="11"/>
  <c r="P13" i="11"/>
  <c r="P15" i="13"/>
  <c r="P11" i="13"/>
  <c r="P14" i="13"/>
  <c r="C18" i="13"/>
  <c r="G18" i="13"/>
  <c r="G17" i="13"/>
  <c r="G19" i="13"/>
  <c r="G12" i="13"/>
  <c r="P17" i="13"/>
  <c r="P16" i="11"/>
  <c r="C17" i="13"/>
  <c r="P10" i="13"/>
  <c r="G14" i="13"/>
  <c r="G59" i="13" s="1"/>
  <c r="G20" i="49" s="1"/>
  <c r="P14" i="11"/>
  <c r="C16" i="13"/>
  <c r="P18" i="13"/>
  <c r="C15" i="13"/>
  <c r="P13" i="13"/>
  <c r="C14" i="13"/>
  <c r="P16" i="13"/>
  <c r="P11" i="11"/>
  <c r="C13" i="13"/>
  <c r="R14" i="10"/>
  <c r="Q16" i="13" s="1"/>
  <c r="R17" i="10"/>
  <c r="Q19" i="13" s="1"/>
  <c r="R12" i="10"/>
  <c r="Q14" i="13" s="1"/>
  <c r="R9" i="10"/>
  <c r="Q11" i="13" s="1"/>
  <c r="R8" i="10"/>
  <c r="Q10" i="13" s="1"/>
  <c r="R10" i="10"/>
  <c r="Q12" i="13" s="1"/>
  <c r="R16" i="10"/>
  <c r="Q18" i="13" s="1"/>
  <c r="R15" i="10"/>
  <c r="Q17" i="13" s="1"/>
  <c r="R11" i="10"/>
  <c r="Q13" i="13" s="1"/>
  <c r="R13" i="10"/>
  <c r="Q15" i="13" s="1"/>
  <c r="C12" i="13"/>
  <c r="C58" i="13" s="1"/>
  <c r="P19" i="13"/>
  <c r="G15" i="13"/>
  <c r="G13" i="13"/>
  <c r="G16" i="13"/>
  <c r="P12" i="13"/>
  <c r="AJ25" i="45"/>
  <c r="AJ32" i="45"/>
  <c r="AJ29" i="45"/>
  <c r="AJ33" i="45"/>
  <c r="AJ28" i="45"/>
  <c r="AJ26" i="45"/>
  <c r="AJ31" i="45"/>
  <c r="AJ30" i="45"/>
  <c r="AJ27" i="45"/>
  <c r="AJ34" i="45"/>
  <c r="C19" i="13"/>
  <c r="AJ10" i="45"/>
  <c r="AJ15" i="45"/>
  <c r="AJ14" i="45"/>
  <c r="AJ11" i="45"/>
  <c r="AJ16" i="45"/>
  <c r="AJ17" i="45"/>
  <c r="AJ12" i="45"/>
  <c r="AJ13" i="45"/>
  <c r="AJ9" i="45"/>
  <c r="D60" i="13"/>
  <c r="D61" i="13"/>
  <c r="R43" i="13"/>
  <c r="R46" i="13"/>
  <c r="R41" i="13"/>
  <c r="R49" i="13"/>
  <c r="R48" i="13"/>
  <c r="R42" i="13"/>
  <c r="R47" i="13"/>
  <c r="R45" i="13"/>
  <c r="R44" i="13"/>
  <c r="G60" i="13"/>
  <c r="E60" i="13"/>
  <c r="H60" i="13"/>
  <c r="F60" i="13"/>
  <c r="H50" i="13"/>
  <c r="H51" i="13" s="1"/>
  <c r="G13" i="25" s="1"/>
  <c r="E50" i="13"/>
  <c r="E51" i="13" s="1"/>
  <c r="D13" i="25" s="1"/>
  <c r="C50" i="13"/>
  <c r="C51" i="13" s="1"/>
  <c r="B13" i="25" s="1"/>
  <c r="AJ54" i="45"/>
  <c r="AJ55" i="45"/>
  <c r="AJ53" i="45"/>
  <c r="K50" i="13"/>
  <c r="K51" i="13" s="1"/>
  <c r="J13" i="25" s="1"/>
  <c r="G50" i="13"/>
  <c r="G51" i="13" s="1"/>
  <c r="F13" i="25" s="1"/>
  <c r="I50" i="13"/>
  <c r="I51" i="13" s="1"/>
  <c r="H13" i="25" s="1"/>
  <c r="D50" i="13"/>
  <c r="F50" i="13"/>
  <c r="F51" i="13" s="1"/>
  <c r="E13" i="25" s="1"/>
  <c r="E61" i="13"/>
  <c r="H61" i="13"/>
  <c r="F61" i="13"/>
  <c r="G61" i="13"/>
  <c r="M19" i="11"/>
  <c r="O8" i="29" s="1"/>
  <c r="L19" i="11"/>
  <c r="N8" i="29" s="1"/>
  <c r="H19" i="11"/>
  <c r="J8" i="29" s="1"/>
  <c r="K19" i="11"/>
  <c r="M8" i="29" s="1"/>
  <c r="O19" i="11"/>
  <c r="Q8" i="29" s="1"/>
  <c r="B19" i="11"/>
  <c r="D8" i="29" s="1"/>
  <c r="G19" i="11"/>
  <c r="I8" i="29" s="1"/>
  <c r="D19" i="11"/>
  <c r="F8" i="29" s="1"/>
  <c r="I19" i="11"/>
  <c r="K8" i="29" s="1"/>
  <c r="E19" i="11"/>
  <c r="G8" i="29" s="1"/>
  <c r="N19" i="11"/>
  <c r="P8" i="29" s="1"/>
  <c r="J19" i="11"/>
  <c r="L8" i="29" s="1"/>
  <c r="C19" i="11"/>
  <c r="E8" i="29" s="1"/>
  <c r="F19" i="11"/>
  <c r="H8" i="29" s="1"/>
  <c r="AJ8" i="45"/>
  <c r="I57" i="13"/>
  <c r="H56" i="13"/>
  <c r="J57" i="13"/>
  <c r="I60" i="13"/>
  <c r="G57" i="13"/>
  <c r="E57" i="13"/>
  <c r="O60" i="13"/>
  <c r="N60" i="13"/>
  <c r="K57" i="13"/>
  <c r="AO24" i="49"/>
  <c r="AH24" i="49"/>
  <c r="AQ24" i="49"/>
  <c r="AM24" i="49"/>
  <c r="AS24" i="49"/>
  <c r="AJ24" i="49"/>
  <c r="AP24" i="49"/>
  <c r="AT24" i="49"/>
  <c r="AK24" i="49"/>
  <c r="AL24" i="49"/>
  <c r="AN24" i="49"/>
  <c r="AU24" i="49"/>
  <c r="AI24" i="49"/>
  <c r="AR24" i="49"/>
  <c r="F56" i="13"/>
  <c r="I61" i="13"/>
  <c r="H59" i="13"/>
  <c r="H20" i="49" s="1"/>
  <c r="P61" i="13"/>
  <c r="J61" i="13"/>
  <c r="M61" i="13"/>
  <c r="K61" i="13"/>
  <c r="P60" i="13"/>
  <c r="K60" i="13"/>
  <c r="O61" i="13"/>
  <c r="J19" i="49"/>
  <c r="L61" i="13"/>
  <c r="N61" i="13"/>
  <c r="I19" i="49"/>
  <c r="L60" i="13"/>
  <c r="O19" i="49"/>
  <c r="M60" i="13"/>
  <c r="F57" i="13"/>
  <c r="L59" i="13"/>
  <c r="L20" i="49" s="1"/>
  <c r="N59" i="13"/>
  <c r="N20" i="49" s="1"/>
  <c r="K59" i="13"/>
  <c r="K20" i="49" s="1"/>
  <c r="O59" i="13"/>
  <c r="O20" i="49" s="1"/>
  <c r="K56" i="13"/>
  <c r="E56" i="13"/>
  <c r="Q60" i="13"/>
  <c r="F59" i="13"/>
  <c r="F20" i="49" s="1"/>
  <c r="M59" i="13"/>
  <c r="M20" i="49" s="1"/>
  <c r="J59" i="13"/>
  <c r="J20" i="49" s="1"/>
  <c r="J56" i="13"/>
  <c r="L56" i="13"/>
  <c r="D56" i="13"/>
  <c r="Q61" i="13"/>
  <c r="I59" i="13"/>
  <c r="I20" i="49" s="1"/>
  <c r="E59" i="13"/>
  <c r="E20" i="49" s="1"/>
  <c r="D59" i="13"/>
  <c r="D20" i="49" s="1"/>
  <c r="R33" i="13"/>
  <c r="R34" i="13"/>
  <c r="D86" i="46"/>
  <c r="D9" i="13" s="1"/>
  <c r="M97" i="46"/>
  <c r="M32" i="13" s="1"/>
  <c r="M71" i="46"/>
  <c r="M31" i="13" s="1"/>
  <c r="C86" i="46"/>
  <c r="C9" i="13" s="1"/>
  <c r="N73" i="46"/>
  <c r="N99" i="46" s="1"/>
  <c r="N66" i="46"/>
  <c r="N92" i="46" s="1"/>
  <c r="N65" i="46"/>
  <c r="N91" i="46" s="1"/>
  <c r="N68" i="46"/>
  <c r="N94" i="46" s="1"/>
  <c r="N61" i="46"/>
  <c r="N87" i="46" s="1"/>
  <c r="N67" i="46"/>
  <c r="N93" i="46" s="1"/>
  <c r="N63" i="46"/>
  <c r="N89" i="46" s="1"/>
  <c r="N74" i="46"/>
  <c r="N100" i="46" s="1"/>
  <c r="N70" i="46"/>
  <c r="N96" i="46" s="1"/>
  <c r="N69" i="46"/>
  <c r="N95" i="46" s="1"/>
  <c r="N64" i="46"/>
  <c r="N90" i="46" s="1"/>
  <c r="N62" i="46"/>
  <c r="N88" i="46" s="1"/>
  <c r="N72" i="46"/>
  <c r="N98" i="46" s="1"/>
  <c r="Q28" i="46"/>
  <c r="Q27" i="46"/>
  <c r="Q25" i="46"/>
  <c r="Q30" i="46"/>
  <c r="Q26" i="46"/>
  <c r="Q29" i="46"/>
  <c r="Q31" i="46"/>
  <c r="Q19" i="46"/>
  <c r="Q12" i="46"/>
  <c r="Q23" i="46"/>
  <c r="Q11" i="46"/>
  <c r="Q13" i="46"/>
  <c r="Q16" i="46"/>
  <c r="Q21" i="46"/>
  <c r="Q22" i="46"/>
  <c r="Q15" i="46"/>
  <c r="Q14" i="46"/>
  <c r="Q10" i="46"/>
  <c r="Q18" i="46"/>
  <c r="Q17" i="46"/>
  <c r="O40" i="46"/>
  <c r="O41" i="46"/>
  <c r="O55" i="46"/>
  <c r="O80" i="46" s="1"/>
  <c r="O106" i="46" s="1"/>
  <c r="O53" i="46"/>
  <c r="O78" i="46" s="1"/>
  <c r="O104" i="46" s="1"/>
  <c r="O36" i="46"/>
  <c r="O38" i="46"/>
  <c r="P20" i="33"/>
  <c r="P26" i="33" s="1"/>
  <c r="M86" i="46"/>
  <c r="M9" i="13" s="1"/>
  <c r="M60" i="46"/>
  <c r="M8" i="13" s="1"/>
  <c r="O39" i="46"/>
  <c r="O51" i="46"/>
  <c r="O76" i="46" s="1"/>
  <c r="O102" i="46" s="1"/>
  <c r="O37" i="46"/>
  <c r="O54" i="46"/>
  <c r="O79" i="46" s="1"/>
  <c r="O105" i="46" s="1"/>
  <c r="O48" i="46"/>
  <c r="O44" i="46"/>
  <c r="O57" i="46"/>
  <c r="O82" i="46" s="1"/>
  <c r="O108" i="46" s="1"/>
  <c r="O52" i="46"/>
  <c r="O77" i="46" s="1"/>
  <c r="O103" i="46" s="1"/>
  <c r="O47" i="46"/>
  <c r="O45" i="46"/>
  <c r="O43" i="46"/>
  <c r="O42" i="46"/>
  <c r="O56" i="46"/>
  <c r="O81" i="46" s="1"/>
  <c r="O107" i="46" s="1"/>
  <c r="O49" i="46"/>
  <c r="P9" i="46"/>
  <c r="G83" i="46"/>
  <c r="P21" i="33"/>
  <c r="P27" i="33" s="1"/>
  <c r="AJ37" i="45"/>
  <c r="AJ45" i="45"/>
  <c r="AJ44" i="45"/>
  <c r="AJ42" i="45"/>
  <c r="AJ51" i="45"/>
  <c r="AJ52" i="45"/>
  <c r="AJ36" i="45"/>
  <c r="AJ41" i="45"/>
  <c r="AJ40" i="45"/>
  <c r="AJ48" i="45"/>
  <c r="AJ39" i="45"/>
  <c r="AJ49" i="45"/>
  <c r="AJ50" i="45"/>
  <c r="AJ38" i="45"/>
  <c r="AJ47" i="45"/>
  <c r="N101" i="46"/>
  <c r="F109" i="46"/>
  <c r="F83" i="46"/>
  <c r="C97" i="46"/>
  <c r="I83" i="46"/>
  <c r="Q1" i="46"/>
  <c r="P4" i="46"/>
  <c r="P112" i="46"/>
  <c r="N75" i="46"/>
  <c r="N39" i="13" s="1"/>
  <c r="R3" i="46"/>
  <c r="R1" i="46" s="1"/>
  <c r="Q2" i="46"/>
  <c r="P20" i="46"/>
  <c r="P24" i="46"/>
  <c r="P113" i="46"/>
  <c r="O32" i="46"/>
  <c r="AK58" i="45"/>
  <c r="AK59" i="45"/>
  <c r="H35" i="13"/>
  <c r="H36" i="13" s="1"/>
  <c r="G12" i="25" s="1"/>
  <c r="D35" i="13"/>
  <c r="D36" i="13" s="1"/>
  <c r="C12" i="25" s="1"/>
  <c r="L35" i="13"/>
  <c r="L36" i="13" s="1"/>
  <c r="K12" i="25" s="1"/>
  <c r="G35" i="13"/>
  <c r="G36" i="13" s="1"/>
  <c r="F12" i="25" s="1"/>
  <c r="K35" i="13"/>
  <c r="K36" i="13" s="1"/>
  <c r="J12" i="25" s="1"/>
  <c r="I35" i="13"/>
  <c r="I36" i="13" s="1"/>
  <c r="H12" i="25" s="1"/>
  <c r="E35" i="13"/>
  <c r="E36" i="13" s="1"/>
  <c r="D12" i="25" s="1"/>
  <c r="J35" i="13"/>
  <c r="J36" i="13" s="1"/>
  <c r="I12" i="25" s="1"/>
  <c r="F35" i="13"/>
  <c r="F36" i="13" s="1"/>
  <c r="E12" i="25" s="1"/>
  <c r="N10" i="48"/>
  <c r="BL10" i="48" s="1"/>
  <c r="BL12" i="48"/>
  <c r="BC5" i="29"/>
  <c r="D19" i="49"/>
  <c r="C56" i="13"/>
  <c r="E83" i="46"/>
  <c r="H109" i="46"/>
  <c r="C83" i="46"/>
  <c r="D83" i="46"/>
  <c r="E109" i="46"/>
  <c r="I8" i="13"/>
  <c r="I56" i="13" s="1"/>
  <c r="G8" i="13"/>
  <c r="K83" i="46"/>
  <c r="K109" i="46"/>
  <c r="G109" i="46"/>
  <c r="D51" i="13"/>
  <c r="C13" i="25" s="1"/>
  <c r="M22" i="25"/>
  <c r="N26" i="13"/>
  <c r="N63" i="13" s="1"/>
  <c r="H83" i="46"/>
  <c r="H9" i="13"/>
  <c r="L83" i="46"/>
  <c r="J83" i="46"/>
  <c r="V22" i="20"/>
  <c r="J109" i="46"/>
  <c r="O25" i="33"/>
  <c r="O28" i="33" s="1"/>
  <c r="O12" i="48" s="1"/>
  <c r="O10" i="48" s="1"/>
  <c r="O22" i="33"/>
  <c r="Q1" i="33"/>
  <c r="R3" i="33"/>
  <c r="R13" i="33" s="1"/>
  <c r="Q15" i="33"/>
  <c r="P4" i="33"/>
  <c r="Q14" i="33"/>
  <c r="Q2" i="33"/>
  <c r="P16" i="33"/>
  <c r="P13" i="48" s="1"/>
  <c r="P19" i="33"/>
  <c r="I109" i="46"/>
  <c r="R3" i="11"/>
  <c r="Q1" i="11"/>
  <c r="Q2" i="11"/>
  <c r="P4" i="11"/>
  <c r="W4" i="20"/>
  <c r="W21" i="20" s="1"/>
  <c r="X1" i="20"/>
  <c r="X2" i="20"/>
  <c r="Y3" i="20"/>
  <c r="Q2" i="19"/>
  <c r="R3" i="19"/>
  <c r="Q1" i="19"/>
  <c r="P4" i="19"/>
  <c r="L40" i="13"/>
  <c r="L50" i="13" s="1"/>
  <c r="L109" i="46"/>
  <c r="R2" i="13"/>
  <c r="S3" i="13"/>
  <c r="R1" i="13"/>
  <c r="Q4" i="13"/>
  <c r="P2" i="25"/>
  <c r="Q3" i="25"/>
  <c r="O4" i="25"/>
  <c r="P1" i="25"/>
  <c r="R2" i="10"/>
  <c r="Q4" i="10"/>
  <c r="S3" i="10"/>
  <c r="R1" i="10"/>
  <c r="AL2" i="45"/>
  <c r="AM3" i="45"/>
  <c r="AK4" i="45"/>
  <c r="AL1" i="45"/>
  <c r="P4" i="24"/>
  <c r="Q1" i="24"/>
  <c r="R3" i="24"/>
  <c r="Q2" i="24"/>
  <c r="T3" i="29"/>
  <c r="S2" i="29"/>
  <c r="S1" i="29"/>
  <c r="R4" i="29"/>
  <c r="AK21" i="45"/>
  <c r="AK20" i="45"/>
  <c r="S24" i="13" l="1"/>
  <c r="S22" i="13"/>
  <c r="S20" i="13"/>
  <c r="S23" i="13"/>
  <c r="S25" i="13"/>
  <c r="S21" i="13"/>
  <c r="P58" i="13"/>
  <c r="P19" i="49" s="1"/>
  <c r="Q58" i="13"/>
  <c r="Q19" i="49" s="1"/>
  <c r="Q14" i="11"/>
  <c r="Q12" i="11"/>
  <c r="Q13" i="11"/>
  <c r="Q16" i="11"/>
  <c r="Q17" i="11"/>
  <c r="C59" i="13"/>
  <c r="C20" i="49" s="1"/>
  <c r="BL20" i="49" s="1"/>
  <c r="P19" i="11"/>
  <c r="R8" i="29" s="1"/>
  <c r="Q10" i="11"/>
  <c r="S11" i="10"/>
  <c r="S14" i="10"/>
  <c r="S17" i="10"/>
  <c r="S12" i="10"/>
  <c r="S9" i="10"/>
  <c r="S8" i="10"/>
  <c r="S10" i="10"/>
  <c r="S16" i="10"/>
  <c r="S15" i="10"/>
  <c r="S13" i="10"/>
  <c r="Q18" i="11"/>
  <c r="Q15" i="11"/>
  <c r="AK27" i="45"/>
  <c r="AK29" i="45"/>
  <c r="AK25" i="45"/>
  <c r="AK32" i="45"/>
  <c r="AK33" i="45"/>
  <c r="AK28" i="45"/>
  <c r="AK26" i="45"/>
  <c r="AK30" i="45"/>
  <c r="AK31" i="45"/>
  <c r="AK34" i="45"/>
  <c r="Q9" i="11"/>
  <c r="AW24" i="49" s="1"/>
  <c r="Q11" i="11"/>
  <c r="AK11" i="45"/>
  <c r="AK13" i="45"/>
  <c r="AK14" i="45"/>
  <c r="AK17" i="45"/>
  <c r="AK12" i="45"/>
  <c r="AK16" i="45"/>
  <c r="AK15" i="45"/>
  <c r="AK10" i="45"/>
  <c r="AK9" i="45"/>
  <c r="S48" i="13"/>
  <c r="S43" i="13"/>
  <c r="S46" i="13"/>
  <c r="S44" i="13"/>
  <c r="S41" i="13"/>
  <c r="S45" i="13"/>
  <c r="S47" i="13"/>
  <c r="S42" i="13"/>
  <c r="S49" i="13"/>
  <c r="P59" i="13"/>
  <c r="P20" i="49" s="1"/>
  <c r="Q59" i="13"/>
  <c r="Q20" i="49" s="1"/>
  <c r="J60" i="13"/>
  <c r="J50" i="13"/>
  <c r="J51" i="13" s="1"/>
  <c r="I13" i="25" s="1"/>
  <c r="AK54" i="45"/>
  <c r="AK55" i="45"/>
  <c r="AK53" i="45"/>
  <c r="L51" i="13"/>
  <c r="K13" i="25" s="1"/>
  <c r="AK8" i="45"/>
  <c r="D57" i="13"/>
  <c r="D29" i="49" s="1"/>
  <c r="D30" i="49" s="1"/>
  <c r="AV24" i="49"/>
  <c r="M56" i="13"/>
  <c r="D109" i="46"/>
  <c r="R61" i="13"/>
  <c r="R60" i="13"/>
  <c r="H57" i="13"/>
  <c r="H29" i="49" s="1"/>
  <c r="H30" i="49" s="1"/>
  <c r="S33" i="13"/>
  <c r="S34" i="13"/>
  <c r="L57" i="13"/>
  <c r="L29" i="49" s="1"/>
  <c r="L30" i="49" s="1"/>
  <c r="G56" i="13"/>
  <c r="G29" i="49" s="1"/>
  <c r="G30" i="49" s="1"/>
  <c r="M35" i="13"/>
  <c r="M36" i="13" s="1"/>
  <c r="L12" i="25" s="1"/>
  <c r="Q20" i="33"/>
  <c r="Q26" i="33" s="1"/>
  <c r="N71" i="46"/>
  <c r="N31" i="13" s="1"/>
  <c r="N97" i="46"/>
  <c r="N32" i="13" s="1"/>
  <c r="O68" i="46"/>
  <c r="O94" i="46" s="1"/>
  <c r="O73" i="46"/>
  <c r="O99" i="46" s="1"/>
  <c r="O64" i="46"/>
  <c r="O90" i="46" s="1"/>
  <c r="O61" i="46"/>
  <c r="O87" i="46" s="1"/>
  <c r="O65" i="46"/>
  <c r="O91" i="46" s="1"/>
  <c r="O67" i="46"/>
  <c r="O93" i="46" s="1"/>
  <c r="O70" i="46"/>
  <c r="O96" i="46" s="1"/>
  <c r="O63" i="46"/>
  <c r="O89" i="46" s="1"/>
  <c r="O74" i="46"/>
  <c r="O100" i="46" s="1"/>
  <c r="O69" i="46"/>
  <c r="O95" i="46" s="1"/>
  <c r="O72" i="46"/>
  <c r="O98" i="46" s="1"/>
  <c r="O62" i="46"/>
  <c r="O88" i="46" s="1"/>
  <c r="O66" i="46"/>
  <c r="O92" i="46" s="1"/>
  <c r="M83" i="46"/>
  <c r="R29" i="46"/>
  <c r="R28" i="46"/>
  <c r="R25" i="46"/>
  <c r="R26" i="46"/>
  <c r="R31" i="46"/>
  <c r="R27" i="46"/>
  <c r="R30" i="46"/>
  <c r="R22" i="46"/>
  <c r="R10" i="46"/>
  <c r="R21" i="46"/>
  <c r="R12" i="46"/>
  <c r="R14" i="46"/>
  <c r="R17" i="46"/>
  <c r="R18" i="46"/>
  <c r="R23" i="46"/>
  <c r="R19" i="46"/>
  <c r="R15" i="46"/>
  <c r="R13" i="46"/>
  <c r="R16" i="46"/>
  <c r="R11" i="46"/>
  <c r="Q21" i="33"/>
  <c r="Q27" i="33" s="1"/>
  <c r="R2" i="46"/>
  <c r="N60" i="46"/>
  <c r="N8" i="13" s="1"/>
  <c r="N86" i="46"/>
  <c r="N9" i="13" s="1"/>
  <c r="P53" i="46"/>
  <c r="P78" i="46" s="1"/>
  <c r="P104" i="46" s="1"/>
  <c r="P45" i="46"/>
  <c r="Q9" i="46"/>
  <c r="P43" i="46"/>
  <c r="P44" i="46"/>
  <c r="P56" i="46"/>
  <c r="P81" i="46" s="1"/>
  <c r="P107" i="46" s="1"/>
  <c r="S3" i="46"/>
  <c r="Q4" i="46"/>
  <c r="P51" i="46"/>
  <c r="P76" i="46" s="1"/>
  <c r="P102" i="46" s="1"/>
  <c r="O101" i="46"/>
  <c r="AK37" i="45"/>
  <c r="AK42" i="45"/>
  <c r="AK44" i="45"/>
  <c r="AK38" i="45"/>
  <c r="AK51" i="45"/>
  <c r="AK52" i="45"/>
  <c r="AK41" i="45"/>
  <c r="AK40" i="45"/>
  <c r="AK48" i="45"/>
  <c r="AK49" i="45"/>
  <c r="AK36" i="45"/>
  <c r="AK39" i="45"/>
  <c r="AK50" i="45"/>
  <c r="AK47" i="45"/>
  <c r="AK45" i="45"/>
  <c r="E29" i="49"/>
  <c r="E30" i="49" s="1"/>
  <c r="J29" i="49"/>
  <c r="J30" i="49" s="1"/>
  <c r="Q113" i="46"/>
  <c r="Q112" i="46"/>
  <c r="F29" i="49"/>
  <c r="F30" i="49" s="1"/>
  <c r="K29" i="49"/>
  <c r="K30" i="49" s="1"/>
  <c r="Q20" i="46"/>
  <c r="C32" i="13"/>
  <c r="C35" i="13" s="1"/>
  <c r="C36" i="13" s="1"/>
  <c r="B12" i="25" s="1"/>
  <c r="P39" i="46"/>
  <c r="P57" i="46"/>
  <c r="P37" i="46"/>
  <c r="P42" i="46"/>
  <c r="P54" i="46"/>
  <c r="P52" i="46"/>
  <c r="P47" i="46"/>
  <c r="P36" i="46"/>
  <c r="P55" i="46"/>
  <c r="P41" i="46"/>
  <c r="P48" i="46"/>
  <c r="P38" i="46"/>
  <c r="P40" i="46"/>
  <c r="O75" i="46"/>
  <c r="O39" i="13" s="1"/>
  <c r="P32" i="46"/>
  <c r="P49" i="46"/>
  <c r="Q24" i="46"/>
  <c r="I21" i="49"/>
  <c r="I10" i="49" s="1"/>
  <c r="AL58" i="45"/>
  <c r="AL59" i="45"/>
  <c r="BD5" i="29"/>
  <c r="L19" i="49"/>
  <c r="L21" i="49" s="1"/>
  <c r="L10" i="49" s="1"/>
  <c r="C19" i="49"/>
  <c r="I29" i="49"/>
  <c r="I30" i="49" s="1"/>
  <c r="L27" i="13"/>
  <c r="L62" i="13" s="1"/>
  <c r="M21" i="49"/>
  <c r="M10" i="49" s="1"/>
  <c r="J21" i="49"/>
  <c r="J10" i="49" s="1"/>
  <c r="K21" i="49"/>
  <c r="K10" i="49" s="1"/>
  <c r="N21" i="49"/>
  <c r="N10" i="49" s="1"/>
  <c r="F21" i="49"/>
  <c r="F10" i="49" s="1"/>
  <c r="O21" i="49"/>
  <c r="O10" i="49" s="1"/>
  <c r="C109" i="46"/>
  <c r="G21" i="49"/>
  <c r="G10" i="49" s="1"/>
  <c r="E21" i="49"/>
  <c r="E10" i="49" s="1"/>
  <c r="H21" i="49"/>
  <c r="H10" i="49" s="1"/>
  <c r="D21" i="49"/>
  <c r="D10" i="49" s="1"/>
  <c r="N22" i="25"/>
  <c r="O26" i="13"/>
  <c r="O63" i="13" s="1"/>
  <c r="W22" i="20"/>
  <c r="P25" i="33"/>
  <c r="P28" i="33" s="1"/>
  <c r="P12" i="48" s="1"/>
  <c r="P10" i="48" s="1"/>
  <c r="P22" i="33"/>
  <c r="Q19" i="33"/>
  <c r="Q16" i="33"/>
  <c r="Q13" i="48" s="1"/>
  <c r="R15" i="33"/>
  <c r="S3" i="33"/>
  <c r="S13" i="33" s="1"/>
  <c r="Q4" i="33"/>
  <c r="R14" i="33"/>
  <c r="R2" i="33"/>
  <c r="R1" i="33"/>
  <c r="S3" i="11"/>
  <c r="R2" i="11"/>
  <c r="R1" i="11"/>
  <c r="Q4" i="11"/>
  <c r="Y2" i="20"/>
  <c r="Z3" i="20"/>
  <c r="X4" i="20"/>
  <c r="X21" i="20" s="1"/>
  <c r="Y1" i="20"/>
  <c r="R2" i="19"/>
  <c r="S3" i="19"/>
  <c r="Q4" i="19"/>
  <c r="R1" i="19"/>
  <c r="M40" i="13"/>
  <c r="M109" i="46"/>
  <c r="Q2" i="25"/>
  <c r="R3" i="25"/>
  <c r="Q1" i="25"/>
  <c r="P4" i="25"/>
  <c r="S2" i="13"/>
  <c r="T3" i="13"/>
  <c r="R4" i="13"/>
  <c r="S1" i="13"/>
  <c r="AM2" i="45"/>
  <c r="AN3" i="45"/>
  <c r="AL4" i="45"/>
  <c r="AM1" i="45"/>
  <c r="S2" i="10"/>
  <c r="R4" i="10"/>
  <c r="T3" i="10"/>
  <c r="S1" i="10"/>
  <c r="U3" i="29"/>
  <c r="T2" i="29"/>
  <c r="T1" i="29"/>
  <c r="S4" i="29"/>
  <c r="Q4" i="24"/>
  <c r="R1" i="24"/>
  <c r="R2" i="24"/>
  <c r="S3" i="24"/>
  <c r="AL21" i="45"/>
  <c r="AL20" i="45"/>
  <c r="T24" i="13" l="1"/>
  <c r="T22" i="13"/>
  <c r="T20" i="13"/>
  <c r="T25" i="13"/>
  <c r="T21" i="13"/>
  <c r="T23" i="13"/>
  <c r="P21" i="49"/>
  <c r="P10" i="49" s="1"/>
  <c r="C21" i="49"/>
  <c r="C10" i="49" s="1"/>
  <c r="BL10" i="49" s="1"/>
  <c r="T8" i="10"/>
  <c r="T11" i="10"/>
  <c r="T14" i="10"/>
  <c r="T15" i="10"/>
  <c r="T9" i="10"/>
  <c r="T12" i="10"/>
  <c r="T17" i="10"/>
  <c r="T16" i="10"/>
  <c r="T10" i="10"/>
  <c r="T13" i="10"/>
  <c r="R18" i="13"/>
  <c r="R17" i="11"/>
  <c r="R12" i="13"/>
  <c r="R11" i="11"/>
  <c r="R17" i="13"/>
  <c r="R16" i="11"/>
  <c r="R10" i="13"/>
  <c r="R9" i="11"/>
  <c r="R13" i="13"/>
  <c r="R12" i="11"/>
  <c r="R14" i="13"/>
  <c r="R13" i="11"/>
  <c r="R15" i="13"/>
  <c r="R14" i="11"/>
  <c r="R11" i="13"/>
  <c r="R10" i="11"/>
  <c r="R19" i="13"/>
  <c r="R18" i="11"/>
  <c r="AL27" i="45"/>
  <c r="AL29" i="45"/>
  <c r="AL33" i="45"/>
  <c r="AL32" i="45"/>
  <c r="AL28" i="45"/>
  <c r="AL26" i="45"/>
  <c r="AL31" i="45"/>
  <c r="AL30" i="45"/>
  <c r="AL25" i="45"/>
  <c r="AL34" i="45"/>
  <c r="R16" i="13"/>
  <c r="R15" i="11"/>
  <c r="AL16" i="45"/>
  <c r="AL17" i="45"/>
  <c r="AL12" i="45"/>
  <c r="AL14" i="45"/>
  <c r="AL15" i="45"/>
  <c r="AL13" i="45"/>
  <c r="AL10" i="45"/>
  <c r="AL11" i="45"/>
  <c r="AL9" i="45"/>
  <c r="T45" i="13"/>
  <c r="T48" i="13"/>
  <c r="T43" i="13"/>
  <c r="T42" i="13"/>
  <c r="T47" i="13"/>
  <c r="T44" i="13"/>
  <c r="T41" i="13"/>
  <c r="T46" i="13"/>
  <c r="T49" i="13"/>
  <c r="Q21" i="49"/>
  <c r="Q10" i="49" s="1"/>
  <c r="Q19" i="11"/>
  <c r="S8" i="29" s="1"/>
  <c r="AL54" i="45"/>
  <c r="AL55" i="45"/>
  <c r="AL53" i="45"/>
  <c r="M57" i="13"/>
  <c r="M29" i="49" s="1"/>
  <c r="M30" i="49" s="1"/>
  <c r="M50" i="13"/>
  <c r="M51" i="13" s="1"/>
  <c r="L13" i="25" s="1"/>
  <c r="AL8" i="45"/>
  <c r="G9" i="29"/>
  <c r="G19" i="29" s="1"/>
  <c r="P24" i="49"/>
  <c r="P26" i="49" s="1"/>
  <c r="P11" i="49" s="1"/>
  <c r="P9" i="49" s="1"/>
  <c r="P16" i="48" s="1"/>
  <c r="E24" i="49"/>
  <c r="E26" i="49" s="1"/>
  <c r="E11" i="49" s="1"/>
  <c r="E9" i="49" s="1"/>
  <c r="E16" i="48" s="1"/>
  <c r="F9" i="29"/>
  <c r="F19" i="29" s="1"/>
  <c r="D9" i="25"/>
  <c r="E13" i="49"/>
  <c r="E18" i="48" s="1"/>
  <c r="R20" i="33"/>
  <c r="R26" i="33" s="1"/>
  <c r="B9" i="25"/>
  <c r="N56" i="13"/>
  <c r="O24" i="49"/>
  <c r="O26" i="49" s="1"/>
  <c r="O11" i="49" s="1"/>
  <c r="O9" i="49" s="1"/>
  <c r="O16" i="48" s="1"/>
  <c r="N9" i="25"/>
  <c r="P9" i="29"/>
  <c r="P19" i="29" s="1"/>
  <c r="O13" i="49"/>
  <c r="O18" i="48" s="1"/>
  <c r="S60" i="13"/>
  <c r="S61" i="13"/>
  <c r="C57" i="13"/>
  <c r="C29" i="49" s="1"/>
  <c r="C30" i="49" s="1"/>
  <c r="T33" i="13"/>
  <c r="T34" i="13"/>
  <c r="N35" i="13"/>
  <c r="N36" i="13" s="1"/>
  <c r="M12" i="25" s="1"/>
  <c r="O9" i="25"/>
  <c r="P13" i="49"/>
  <c r="P18" i="48" s="1"/>
  <c r="O71" i="46"/>
  <c r="O31" i="13" s="1"/>
  <c r="O97" i="46"/>
  <c r="O32" i="13" s="1"/>
  <c r="P67" i="46"/>
  <c r="P93" i="46" s="1"/>
  <c r="R112" i="46"/>
  <c r="P66" i="46"/>
  <c r="P92" i="46" s="1"/>
  <c r="P65" i="46"/>
  <c r="P91" i="46" s="1"/>
  <c r="P61" i="46"/>
  <c r="P87" i="46" s="1"/>
  <c r="P62" i="46"/>
  <c r="P88" i="46" s="1"/>
  <c r="P63" i="46"/>
  <c r="P89" i="46" s="1"/>
  <c r="P72" i="46"/>
  <c r="P98" i="46" s="1"/>
  <c r="P70" i="46"/>
  <c r="P96" i="46" s="1"/>
  <c r="P74" i="46"/>
  <c r="P100" i="46" s="1"/>
  <c r="P73" i="46"/>
  <c r="P99" i="46" s="1"/>
  <c r="P64" i="46"/>
  <c r="P90" i="46" s="1"/>
  <c r="P69" i="46"/>
  <c r="P95" i="46" s="1"/>
  <c r="P68" i="46"/>
  <c r="P94" i="46" s="1"/>
  <c r="N83" i="46"/>
  <c r="S30" i="46"/>
  <c r="S29" i="46"/>
  <c r="S26" i="46"/>
  <c r="S28" i="46"/>
  <c r="S31" i="46"/>
  <c r="S25" i="46"/>
  <c r="S27" i="46"/>
  <c r="S21" i="46"/>
  <c r="S18" i="46"/>
  <c r="S11" i="46"/>
  <c r="S16" i="46"/>
  <c r="S22" i="46"/>
  <c r="S23" i="46"/>
  <c r="S12" i="46"/>
  <c r="S19" i="46"/>
  <c r="S14" i="46"/>
  <c r="S15" i="46"/>
  <c r="S13" i="46"/>
  <c r="S10" i="46"/>
  <c r="S17" i="46"/>
  <c r="N27" i="13"/>
  <c r="R113" i="46"/>
  <c r="O60" i="46"/>
  <c r="O8" i="13" s="1"/>
  <c r="R21" i="33"/>
  <c r="R27" i="33" s="1"/>
  <c r="O86" i="46"/>
  <c r="O9" i="13" s="1"/>
  <c r="Q48" i="46"/>
  <c r="Q43" i="46"/>
  <c r="Q52" i="46"/>
  <c r="Q77" i="46" s="1"/>
  <c r="Q103" i="46" s="1"/>
  <c r="R9" i="46"/>
  <c r="R20" i="46"/>
  <c r="R4" i="46"/>
  <c r="T3" i="46"/>
  <c r="S1" i="46"/>
  <c r="S2" i="46"/>
  <c r="S112" i="46" s="1"/>
  <c r="Q36" i="46"/>
  <c r="Q37" i="46"/>
  <c r="Q44" i="46"/>
  <c r="AL49" i="45"/>
  <c r="AL44" i="45"/>
  <c r="AL45" i="45"/>
  <c r="AL36" i="45"/>
  <c r="AL39" i="45"/>
  <c r="AL52" i="45"/>
  <c r="AL51" i="45"/>
  <c r="AL47" i="45"/>
  <c r="AL40" i="45"/>
  <c r="AL37" i="45"/>
  <c r="AL42" i="45"/>
  <c r="AL38" i="45"/>
  <c r="AL50" i="45"/>
  <c r="AL48" i="45"/>
  <c r="AL41" i="45"/>
  <c r="Q32" i="46"/>
  <c r="Q57" i="46"/>
  <c r="Q82" i="46" s="1"/>
  <c r="Q108" i="46" s="1"/>
  <c r="Q39" i="46"/>
  <c r="Q45" i="46"/>
  <c r="Q49" i="46"/>
  <c r="Q56" i="46"/>
  <c r="Q81" i="46" s="1"/>
  <c r="Q107" i="46" s="1"/>
  <c r="Q40" i="46"/>
  <c r="Q55" i="46"/>
  <c r="Q80" i="46" s="1"/>
  <c r="Q106" i="46" s="1"/>
  <c r="Q47" i="46"/>
  <c r="Q42" i="46"/>
  <c r="Q41" i="46"/>
  <c r="Q53" i="46"/>
  <c r="Q78" i="46" s="1"/>
  <c r="Q104" i="46" s="1"/>
  <c r="Q51" i="46"/>
  <c r="Q76" i="46" s="1"/>
  <c r="Q102" i="46" s="1"/>
  <c r="Q38" i="46"/>
  <c r="Q54" i="46"/>
  <c r="Q79" i="46" s="1"/>
  <c r="Q105" i="46" s="1"/>
  <c r="P79" i="46"/>
  <c r="P105" i="46" s="1"/>
  <c r="P77" i="46"/>
  <c r="P103" i="46" s="1"/>
  <c r="P80" i="46"/>
  <c r="P106" i="46" s="1"/>
  <c r="P82" i="46"/>
  <c r="P108" i="46" s="1"/>
  <c r="R24" i="46"/>
  <c r="Q13" i="49"/>
  <c r="Q18" i="48" s="1"/>
  <c r="Q24" i="49"/>
  <c r="Q26" i="49" s="1"/>
  <c r="Q11" i="49" s="1"/>
  <c r="AM58" i="45"/>
  <c r="AM59" i="45"/>
  <c r="BE5" i="29"/>
  <c r="BL19" i="49"/>
  <c r="L64" i="13"/>
  <c r="M13" i="29" s="1"/>
  <c r="G27" i="13"/>
  <c r="H27" i="13"/>
  <c r="D27" i="13"/>
  <c r="M27" i="13"/>
  <c r="K27" i="13"/>
  <c r="I27" i="13"/>
  <c r="F27" i="13"/>
  <c r="J27" i="13"/>
  <c r="E27" i="13"/>
  <c r="L28" i="13"/>
  <c r="K10" i="25" s="1"/>
  <c r="C27" i="13"/>
  <c r="P9" i="25"/>
  <c r="O22" i="25"/>
  <c r="P26" i="13"/>
  <c r="P63" i="13" s="1"/>
  <c r="X22" i="20"/>
  <c r="R16" i="33"/>
  <c r="R13" i="48" s="1"/>
  <c r="R19" i="33"/>
  <c r="T3" i="33"/>
  <c r="T13" i="33" s="1"/>
  <c r="S15" i="33"/>
  <c r="S1" i="33"/>
  <c r="S14" i="33"/>
  <c r="S2" i="33"/>
  <c r="R4" i="33"/>
  <c r="Q22" i="33"/>
  <c r="Q25" i="33"/>
  <c r="Q28" i="33" s="1"/>
  <c r="Q12" i="48" s="1"/>
  <c r="Q10" i="48" s="1"/>
  <c r="T3" i="11"/>
  <c r="S1" i="11"/>
  <c r="S2" i="11"/>
  <c r="R4" i="11"/>
  <c r="AA3" i="20"/>
  <c r="Z1" i="20"/>
  <c r="Z2" i="20"/>
  <c r="Y4" i="20"/>
  <c r="Y21" i="20" s="1"/>
  <c r="S2" i="19"/>
  <c r="T3" i="19"/>
  <c r="S1" i="19"/>
  <c r="R4" i="19"/>
  <c r="T2" i="13"/>
  <c r="U3" i="13"/>
  <c r="T1" i="13"/>
  <c r="S4" i="13"/>
  <c r="R2" i="25"/>
  <c r="S3" i="25"/>
  <c r="Q4" i="25"/>
  <c r="R1" i="25"/>
  <c r="N109" i="46"/>
  <c r="N40" i="13"/>
  <c r="R4" i="24"/>
  <c r="S1" i="24"/>
  <c r="T3" i="24"/>
  <c r="S2" i="24"/>
  <c r="AM21" i="45"/>
  <c r="AM20" i="45"/>
  <c r="V3" i="29"/>
  <c r="U2" i="29"/>
  <c r="T4" i="29"/>
  <c r="U1" i="29"/>
  <c r="T2" i="10"/>
  <c r="S4" i="10"/>
  <c r="U3" i="10"/>
  <c r="T1" i="10"/>
  <c r="AN2" i="45"/>
  <c r="AO3" i="45"/>
  <c r="AM4" i="45"/>
  <c r="AN1" i="45"/>
  <c r="U21" i="13" l="1"/>
  <c r="U23" i="13"/>
  <c r="U25" i="13"/>
  <c r="U24" i="13"/>
  <c r="U20" i="13"/>
  <c r="U22" i="13"/>
  <c r="R58" i="13"/>
  <c r="R19" i="49" s="1"/>
  <c r="BL21" i="49"/>
  <c r="S10" i="13"/>
  <c r="S9" i="11"/>
  <c r="AM33" i="45"/>
  <c r="AM29" i="45"/>
  <c r="AM32" i="45"/>
  <c r="AM34" i="45"/>
  <c r="AM26" i="45"/>
  <c r="AM28" i="45"/>
  <c r="AM31" i="45"/>
  <c r="AM27" i="45"/>
  <c r="AM30" i="45"/>
  <c r="AM25" i="45"/>
  <c r="S12" i="13"/>
  <c r="S11" i="11"/>
  <c r="S18" i="13"/>
  <c r="S17" i="11"/>
  <c r="S19" i="13"/>
  <c r="S18" i="11"/>
  <c r="S14" i="13"/>
  <c r="S13" i="11"/>
  <c r="S15" i="13"/>
  <c r="S14" i="11"/>
  <c r="S11" i="13"/>
  <c r="S10" i="11"/>
  <c r="S17" i="13"/>
  <c r="S16" i="11"/>
  <c r="S16" i="13"/>
  <c r="S15" i="11"/>
  <c r="U8" i="10"/>
  <c r="U11" i="10"/>
  <c r="U15" i="10"/>
  <c r="U9" i="10"/>
  <c r="U14" i="10"/>
  <c r="U12" i="10"/>
  <c r="U17" i="10"/>
  <c r="U16" i="10"/>
  <c r="U10" i="10"/>
  <c r="U13" i="10"/>
  <c r="S13" i="13"/>
  <c r="S12" i="11"/>
  <c r="AM13" i="45"/>
  <c r="AM14" i="45"/>
  <c r="AM16" i="45"/>
  <c r="AM11" i="45"/>
  <c r="AM10" i="45"/>
  <c r="AM12" i="45"/>
  <c r="AM17" i="45"/>
  <c r="AM15" i="45"/>
  <c r="AM9" i="45"/>
  <c r="U42" i="13"/>
  <c r="U45" i="13"/>
  <c r="U48" i="13"/>
  <c r="U47" i="13"/>
  <c r="U44" i="13"/>
  <c r="U41" i="13"/>
  <c r="U46" i="13"/>
  <c r="U43" i="13"/>
  <c r="U49" i="13"/>
  <c r="Q9" i="49"/>
  <c r="Q16" i="48" s="1"/>
  <c r="S20" i="33"/>
  <c r="S26" i="33" s="1"/>
  <c r="R24" i="49"/>
  <c r="R59" i="13"/>
  <c r="R20" i="49" s="1"/>
  <c r="R19" i="11"/>
  <c r="T8" i="29" s="1"/>
  <c r="AX24" i="49"/>
  <c r="AM55" i="45"/>
  <c r="AM54" i="45"/>
  <c r="AM53" i="45"/>
  <c r="N57" i="13"/>
  <c r="N29" i="49" s="1"/>
  <c r="N50" i="13"/>
  <c r="N62" i="13" s="1"/>
  <c r="AM8" i="45"/>
  <c r="E12" i="19"/>
  <c r="L13" i="20" s="1"/>
  <c r="N9" i="29"/>
  <c r="N19" i="29" s="1"/>
  <c r="H9" i="25"/>
  <c r="J24" i="49"/>
  <c r="J26" i="49" s="1"/>
  <c r="J11" i="49" s="1"/>
  <c r="J9" i="49" s="1"/>
  <c r="J16" i="48" s="1"/>
  <c r="K9" i="29"/>
  <c r="K19" i="29" s="1"/>
  <c r="D9" i="29"/>
  <c r="D19" i="29" s="1"/>
  <c r="BL25" i="49"/>
  <c r="O12" i="19"/>
  <c r="V13" i="20" s="1"/>
  <c r="J13" i="49"/>
  <c r="J18" i="48" s="1"/>
  <c r="I9" i="25"/>
  <c r="M24" i="49"/>
  <c r="M26" i="49" s="1"/>
  <c r="M11" i="49" s="1"/>
  <c r="M9" i="49" s="1"/>
  <c r="M16" i="48" s="1"/>
  <c r="M13" i="49"/>
  <c r="M18" i="48" s="1"/>
  <c r="L9" i="25"/>
  <c r="J9" i="29"/>
  <c r="I13" i="49"/>
  <c r="I18" i="48" s="1"/>
  <c r="I24" i="49"/>
  <c r="I26" i="49" s="1"/>
  <c r="I11" i="49" s="1"/>
  <c r="I9" i="49" s="1"/>
  <c r="I16" i="48" s="1"/>
  <c r="M9" i="25"/>
  <c r="O9" i="29"/>
  <c r="N13" i="49"/>
  <c r="N18" i="48" s="1"/>
  <c r="N24" i="49"/>
  <c r="N26" i="49" s="1"/>
  <c r="N11" i="49" s="1"/>
  <c r="N9" i="49" s="1"/>
  <c r="N16" i="48" s="1"/>
  <c r="G13" i="49"/>
  <c r="G18" i="48" s="1"/>
  <c r="H9" i="29"/>
  <c r="G24" i="49"/>
  <c r="G26" i="49" s="1"/>
  <c r="G11" i="49" s="1"/>
  <c r="G9" i="49" s="1"/>
  <c r="G16" i="48" s="1"/>
  <c r="F9" i="25"/>
  <c r="H24" i="49"/>
  <c r="H26" i="49" s="1"/>
  <c r="H11" i="49" s="1"/>
  <c r="H13" i="49"/>
  <c r="H18" i="48" s="1"/>
  <c r="I9" i="29"/>
  <c r="G9" i="25"/>
  <c r="D13" i="49"/>
  <c r="D18" i="48" s="1"/>
  <c r="E9" i="29"/>
  <c r="D24" i="49"/>
  <c r="D26" i="49" s="1"/>
  <c r="D11" i="49" s="1"/>
  <c r="D9" i="49" s="1"/>
  <c r="D16" i="48" s="1"/>
  <c r="C9" i="25"/>
  <c r="F24" i="49"/>
  <c r="F26" i="49" s="1"/>
  <c r="F11" i="49" s="1"/>
  <c r="F9" i="49" s="1"/>
  <c r="F16" i="48" s="1"/>
  <c r="F13" i="49"/>
  <c r="F18" i="48" s="1"/>
  <c r="E9" i="25"/>
  <c r="K24" i="49"/>
  <c r="K26" i="49" s="1"/>
  <c r="K11" i="49" s="1"/>
  <c r="K9" i="49" s="1"/>
  <c r="K16" i="48" s="1"/>
  <c r="K13" i="49"/>
  <c r="K18" i="48" s="1"/>
  <c r="L9" i="29"/>
  <c r="J9" i="25"/>
  <c r="L24" i="49"/>
  <c r="L26" i="49" s="1"/>
  <c r="L11" i="49" s="1"/>
  <c r="L9" i="49" s="1"/>
  <c r="L16" i="48" s="1"/>
  <c r="L13" i="49"/>
  <c r="L18" i="48" s="1"/>
  <c r="K9" i="25"/>
  <c r="K11" i="25" s="1"/>
  <c r="K14" i="25" s="1"/>
  <c r="K17" i="25" s="1"/>
  <c r="K23" i="25" s="1"/>
  <c r="M9" i="29"/>
  <c r="C24" i="49"/>
  <c r="C13" i="49"/>
  <c r="O56" i="13"/>
  <c r="T61" i="13"/>
  <c r="O35" i="13"/>
  <c r="O36" i="13" s="1"/>
  <c r="N12" i="25" s="1"/>
  <c r="T60" i="13"/>
  <c r="F28" i="13"/>
  <c r="E10" i="25" s="1"/>
  <c r="F62" i="13"/>
  <c r="F64" i="13" s="1"/>
  <c r="G13" i="29" s="1"/>
  <c r="I28" i="13"/>
  <c r="H10" i="25" s="1"/>
  <c r="I62" i="13"/>
  <c r="I64" i="13" s="1"/>
  <c r="J13" i="29" s="1"/>
  <c r="J14" i="29" s="1"/>
  <c r="J18" i="29" s="1"/>
  <c r="K28" i="13"/>
  <c r="J10" i="25" s="1"/>
  <c r="K62" i="13"/>
  <c r="K64" i="13" s="1"/>
  <c r="L13" i="29" s="1"/>
  <c r="M28" i="13"/>
  <c r="L10" i="25" s="1"/>
  <c r="M62" i="13"/>
  <c r="U34" i="13"/>
  <c r="U33" i="13"/>
  <c r="D28" i="13"/>
  <c r="C10" i="25" s="1"/>
  <c r="D62" i="13"/>
  <c r="D64" i="13" s="1"/>
  <c r="E13" i="29" s="1"/>
  <c r="C62" i="13"/>
  <c r="C64" i="13" s="1"/>
  <c r="H28" i="13"/>
  <c r="G10" i="25" s="1"/>
  <c r="H62" i="13"/>
  <c r="H64" i="13" s="1"/>
  <c r="I13" i="29" s="1"/>
  <c r="I14" i="29" s="1"/>
  <c r="I18" i="29" s="1"/>
  <c r="E28" i="13"/>
  <c r="D10" i="25" s="1"/>
  <c r="D11" i="25" s="1"/>
  <c r="D14" i="25" s="1"/>
  <c r="D17" i="25" s="1"/>
  <c r="D23" i="25" s="1"/>
  <c r="E62" i="13"/>
  <c r="E64" i="13" s="1"/>
  <c r="F13" i="29" s="1"/>
  <c r="G28" i="13"/>
  <c r="F10" i="25" s="1"/>
  <c r="G62" i="13"/>
  <c r="G64" i="13" s="1"/>
  <c r="H13" i="29" s="1"/>
  <c r="N28" i="13"/>
  <c r="M10" i="25" s="1"/>
  <c r="J28" i="13"/>
  <c r="I10" i="25" s="1"/>
  <c r="J62" i="13"/>
  <c r="J64" i="13" s="1"/>
  <c r="K13" i="29" s="1"/>
  <c r="P71" i="46"/>
  <c r="P31" i="13" s="1"/>
  <c r="S21" i="33"/>
  <c r="S27" i="33" s="1"/>
  <c r="O27" i="13"/>
  <c r="O83" i="46"/>
  <c r="P97" i="46"/>
  <c r="P32" i="13" s="1"/>
  <c r="Q74" i="46"/>
  <c r="Q70" i="46"/>
  <c r="Q96" i="46" s="1"/>
  <c r="Q65" i="46"/>
  <c r="Q91" i="46" s="1"/>
  <c r="Q69" i="46"/>
  <c r="Q95" i="46" s="1"/>
  <c r="Q66" i="46"/>
  <c r="Q92" i="46" s="1"/>
  <c r="Q64" i="46"/>
  <c r="Q90" i="46" s="1"/>
  <c r="Q62" i="46"/>
  <c r="Q88" i="46" s="1"/>
  <c r="Q63" i="46"/>
  <c r="Q89" i="46" s="1"/>
  <c r="Q61" i="46"/>
  <c r="Q87" i="46" s="1"/>
  <c r="Q67" i="46"/>
  <c r="Q93" i="46" s="1"/>
  <c r="Q68" i="46"/>
  <c r="Q94" i="46" s="1"/>
  <c r="Q72" i="46"/>
  <c r="Q98" i="46" s="1"/>
  <c r="Q73" i="46"/>
  <c r="Q99" i="46" s="1"/>
  <c r="R48" i="46"/>
  <c r="R41" i="46"/>
  <c r="R54" i="46"/>
  <c r="R79" i="46" s="1"/>
  <c r="R105" i="46" s="1"/>
  <c r="R53" i="46"/>
  <c r="R78" i="46" s="1"/>
  <c r="R104" i="46" s="1"/>
  <c r="O109" i="46"/>
  <c r="R39" i="46"/>
  <c r="R42" i="46"/>
  <c r="R52" i="46"/>
  <c r="R77" i="46" s="1"/>
  <c r="R103" i="46" s="1"/>
  <c r="R47" i="46"/>
  <c r="R72" i="46" s="1"/>
  <c r="R98" i="46" s="1"/>
  <c r="R40" i="46"/>
  <c r="R55" i="46"/>
  <c r="R80" i="46" s="1"/>
  <c r="R106" i="46" s="1"/>
  <c r="R49" i="46"/>
  <c r="R37" i="46"/>
  <c r="R43" i="46"/>
  <c r="R36" i="46"/>
  <c r="R44" i="46"/>
  <c r="R57" i="46"/>
  <c r="R82" i="46" s="1"/>
  <c r="R108" i="46" s="1"/>
  <c r="R38" i="46"/>
  <c r="R45" i="46"/>
  <c r="R56" i="46"/>
  <c r="R81" i="46" s="1"/>
  <c r="R107" i="46" s="1"/>
  <c r="R51" i="46"/>
  <c r="R76" i="46" s="1"/>
  <c r="R102" i="46" s="1"/>
  <c r="T30" i="46"/>
  <c r="T27" i="46"/>
  <c r="T29" i="46"/>
  <c r="T26" i="46"/>
  <c r="T31" i="46"/>
  <c r="T28" i="46"/>
  <c r="T25" i="46"/>
  <c r="T23" i="46"/>
  <c r="T11" i="46"/>
  <c r="T22" i="46"/>
  <c r="T10" i="46"/>
  <c r="T21" i="46"/>
  <c r="T19" i="46"/>
  <c r="T17" i="46"/>
  <c r="T18" i="46"/>
  <c r="T12" i="46"/>
  <c r="T14" i="46"/>
  <c r="T15" i="46"/>
  <c r="T16" i="46"/>
  <c r="T13" i="46"/>
  <c r="S113" i="46"/>
  <c r="P60" i="46"/>
  <c r="P8" i="13" s="1"/>
  <c r="P86" i="46"/>
  <c r="P9" i="13" s="1"/>
  <c r="S4" i="46"/>
  <c r="U3" i="46"/>
  <c r="V3" i="46" s="1"/>
  <c r="R32" i="46"/>
  <c r="S20" i="46"/>
  <c r="S9" i="46"/>
  <c r="T2" i="46"/>
  <c r="T113" i="46" s="1"/>
  <c r="T1" i="46"/>
  <c r="S24" i="46"/>
  <c r="P101" i="46"/>
  <c r="AM48" i="45"/>
  <c r="AM49" i="45"/>
  <c r="AM41" i="45"/>
  <c r="AM40" i="45"/>
  <c r="AM39" i="45"/>
  <c r="AM44" i="45"/>
  <c r="AM45" i="45"/>
  <c r="AM47" i="45"/>
  <c r="AM37" i="45"/>
  <c r="AM42" i="45"/>
  <c r="AM52" i="45"/>
  <c r="AM38" i="45"/>
  <c r="AM51" i="45"/>
  <c r="AM50" i="45"/>
  <c r="AM36" i="45"/>
  <c r="Q101" i="46"/>
  <c r="P75" i="46"/>
  <c r="P39" i="13" s="1"/>
  <c r="Q75" i="46"/>
  <c r="Q39" i="13" s="1"/>
  <c r="AN58" i="45"/>
  <c r="AN59" i="45"/>
  <c r="BF5" i="29"/>
  <c r="L53" i="13"/>
  <c r="M14" i="29" s="1"/>
  <c r="L13" i="19" s="1"/>
  <c r="R13" i="49"/>
  <c r="P22" i="25"/>
  <c r="Q26" i="13"/>
  <c r="Q63" i="13" s="1"/>
  <c r="Q9" i="25"/>
  <c r="Y22" i="20"/>
  <c r="Q9" i="29"/>
  <c r="Q19" i="29" s="1"/>
  <c r="R25" i="33"/>
  <c r="R28" i="33" s="1"/>
  <c r="R12" i="48" s="1"/>
  <c r="R10" i="48" s="1"/>
  <c r="R22" i="33"/>
  <c r="S16" i="33"/>
  <c r="S13" i="48" s="1"/>
  <c r="S19" i="33"/>
  <c r="T15" i="33"/>
  <c r="U3" i="33"/>
  <c r="U13" i="33" s="1"/>
  <c r="S4" i="33"/>
  <c r="T14" i="33"/>
  <c r="T2" i="33"/>
  <c r="T1" i="33"/>
  <c r="O40" i="13"/>
  <c r="O50" i="13" s="1"/>
  <c r="C28" i="13"/>
  <c r="B10" i="25" s="1"/>
  <c r="U3" i="11"/>
  <c r="T2" i="11"/>
  <c r="T1" i="11"/>
  <c r="S4" i="11"/>
  <c r="F12" i="19"/>
  <c r="AA2" i="20"/>
  <c r="AB3" i="20"/>
  <c r="Z4" i="20"/>
  <c r="Z21" i="20" s="1"/>
  <c r="AA1" i="20"/>
  <c r="T2" i="19"/>
  <c r="U3" i="19"/>
  <c r="S4" i="19"/>
  <c r="T1" i="19"/>
  <c r="S2" i="25"/>
  <c r="T3" i="25"/>
  <c r="S1" i="25"/>
  <c r="R4" i="25"/>
  <c r="U2" i="13"/>
  <c r="V3" i="13"/>
  <c r="T4" i="13"/>
  <c r="U1" i="13"/>
  <c r="AO2" i="45"/>
  <c r="AP3" i="45"/>
  <c r="AO1" i="45"/>
  <c r="AN4" i="45"/>
  <c r="W3" i="29"/>
  <c r="V2" i="29"/>
  <c r="V1" i="29"/>
  <c r="U4" i="29"/>
  <c r="S4" i="24"/>
  <c r="T1" i="24"/>
  <c r="T2" i="24"/>
  <c r="U3" i="24"/>
  <c r="AN21" i="45"/>
  <c r="AN20" i="45"/>
  <c r="U2" i="10"/>
  <c r="V3" i="10"/>
  <c r="T4" i="10"/>
  <c r="U1" i="10"/>
  <c r="R21" i="49" l="1"/>
  <c r="R10" i="49" s="1"/>
  <c r="V21" i="13"/>
  <c r="V23" i="13"/>
  <c r="V25" i="13"/>
  <c r="V24" i="13"/>
  <c r="V20" i="13"/>
  <c r="V22" i="13"/>
  <c r="S58" i="13"/>
  <c r="S19" i="49" s="1"/>
  <c r="T16" i="13"/>
  <c r="T15" i="11"/>
  <c r="T11" i="13"/>
  <c r="T10" i="11"/>
  <c r="T17" i="13"/>
  <c r="T16" i="11"/>
  <c r="T13" i="13"/>
  <c r="T12" i="11"/>
  <c r="T10" i="13"/>
  <c r="T58" i="13" s="1"/>
  <c r="T19" i="49" s="1"/>
  <c r="T9" i="11"/>
  <c r="T15" i="13"/>
  <c r="T14" i="11"/>
  <c r="AN29" i="45"/>
  <c r="AN32" i="45"/>
  <c r="AN28" i="45"/>
  <c r="AN34" i="45"/>
  <c r="AN26" i="45"/>
  <c r="AN31" i="45"/>
  <c r="AN25" i="45"/>
  <c r="AN27" i="45"/>
  <c r="AN30" i="45"/>
  <c r="AN33" i="45"/>
  <c r="T12" i="13"/>
  <c r="T11" i="11"/>
  <c r="V8" i="10"/>
  <c r="V12" i="10"/>
  <c r="V17" i="10"/>
  <c r="V15" i="10"/>
  <c r="V9" i="10"/>
  <c r="V14" i="10"/>
  <c r="V16" i="10"/>
  <c r="V10" i="10"/>
  <c r="V11" i="10"/>
  <c r="V13" i="10"/>
  <c r="T19" i="13"/>
  <c r="T18" i="11"/>
  <c r="T18" i="13"/>
  <c r="T17" i="11"/>
  <c r="T14" i="13"/>
  <c r="T13" i="11"/>
  <c r="AN12" i="45"/>
  <c r="AN16" i="45"/>
  <c r="AN14" i="45"/>
  <c r="AN17" i="45"/>
  <c r="AN11" i="45"/>
  <c r="AN10" i="45"/>
  <c r="AN13" i="45"/>
  <c r="AN15" i="45"/>
  <c r="AN9" i="45"/>
  <c r="V47" i="13"/>
  <c r="V42" i="13"/>
  <c r="V45" i="13"/>
  <c r="V49" i="13"/>
  <c r="V44" i="13"/>
  <c r="V41" i="13"/>
  <c r="V46" i="13"/>
  <c r="V48" i="13"/>
  <c r="V43" i="13"/>
  <c r="S24" i="49"/>
  <c r="S26" i="49" s="1"/>
  <c r="S11" i="49" s="1"/>
  <c r="S59" i="13"/>
  <c r="S20" i="49" s="1"/>
  <c r="T20" i="33"/>
  <c r="T26" i="33" s="1"/>
  <c r="S19" i="11"/>
  <c r="U8" i="29" s="1"/>
  <c r="AY24" i="49"/>
  <c r="D13" i="29"/>
  <c r="AN55" i="45"/>
  <c r="AN54" i="45"/>
  <c r="AN53" i="45"/>
  <c r="T21" i="33"/>
  <c r="T27" i="33" s="1"/>
  <c r="BL18" i="48"/>
  <c r="BL16" i="48"/>
  <c r="L11" i="25"/>
  <c r="L14" i="25" s="1"/>
  <c r="AN8" i="45"/>
  <c r="H11" i="25"/>
  <c r="H14" i="25" s="1"/>
  <c r="J12" i="19"/>
  <c r="Q13" i="20" s="1"/>
  <c r="M12" i="19"/>
  <c r="T13" i="20" s="1"/>
  <c r="C12" i="19"/>
  <c r="J13" i="20" s="1"/>
  <c r="I11" i="25"/>
  <c r="I14" i="25" s="1"/>
  <c r="D15" i="25"/>
  <c r="K15" i="25"/>
  <c r="C11" i="25"/>
  <c r="C14" i="25" s="1"/>
  <c r="C17" i="25" s="1"/>
  <c r="C23" i="25" s="1"/>
  <c r="G11" i="25"/>
  <c r="G14" i="25" s="1"/>
  <c r="G17" i="25" s="1"/>
  <c r="G23" i="25" s="1"/>
  <c r="M11" i="25"/>
  <c r="J19" i="29"/>
  <c r="I12" i="19"/>
  <c r="P13" i="20" s="1"/>
  <c r="F11" i="25"/>
  <c r="F14" i="25" s="1"/>
  <c r="F17" i="25" s="1"/>
  <c r="F23" i="25" s="1"/>
  <c r="O19" i="29"/>
  <c r="N12" i="19"/>
  <c r="U13" i="20" s="1"/>
  <c r="J11" i="25"/>
  <c r="J14" i="25" s="1"/>
  <c r="J17" i="25" s="1"/>
  <c r="J23" i="25" s="1"/>
  <c r="H12" i="19"/>
  <c r="O13" i="20" s="1"/>
  <c r="I19" i="29"/>
  <c r="H19" i="29"/>
  <c r="G12" i="19"/>
  <c r="N13" i="20" s="1"/>
  <c r="M19" i="29"/>
  <c r="L12" i="19"/>
  <c r="S13" i="20" s="1"/>
  <c r="E11" i="25"/>
  <c r="E14" i="25" s="1"/>
  <c r="E17" i="25" s="1"/>
  <c r="E23" i="25" s="1"/>
  <c r="L19" i="29"/>
  <c r="K12" i="19"/>
  <c r="R13" i="20" s="1"/>
  <c r="E19" i="29"/>
  <c r="D12" i="19"/>
  <c r="K13" i="20" s="1"/>
  <c r="BL13" i="49"/>
  <c r="C18" i="48"/>
  <c r="C26" i="49"/>
  <c r="BL24" i="49"/>
  <c r="I53" i="13"/>
  <c r="H53" i="13"/>
  <c r="K53" i="13"/>
  <c r="M53" i="13"/>
  <c r="J53" i="13"/>
  <c r="G53" i="13"/>
  <c r="F53" i="13"/>
  <c r="D53" i="13"/>
  <c r="E53" i="13"/>
  <c r="O28" i="13"/>
  <c r="N10" i="25" s="1"/>
  <c r="N11" i="25" s="1"/>
  <c r="U60" i="13"/>
  <c r="U61" i="13"/>
  <c r="V34" i="13"/>
  <c r="V33" i="13"/>
  <c r="P56" i="13"/>
  <c r="O57" i="13"/>
  <c r="O29" i="49" s="1"/>
  <c r="O30" i="49" s="1"/>
  <c r="P35" i="13"/>
  <c r="P36" i="13" s="1"/>
  <c r="O12" i="25" s="1"/>
  <c r="Q71" i="46"/>
  <c r="Q31" i="13" s="1"/>
  <c r="R70" i="46"/>
  <c r="R96" i="46" s="1"/>
  <c r="R69" i="46"/>
  <c r="R95" i="46" s="1"/>
  <c r="R65" i="46"/>
  <c r="R91" i="46" s="1"/>
  <c r="R64" i="46"/>
  <c r="R90" i="46" s="1"/>
  <c r="R63" i="46"/>
  <c r="R89" i="46" s="1"/>
  <c r="R67" i="46"/>
  <c r="R93" i="46" s="1"/>
  <c r="Q100" i="46"/>
  <c r="Q97" i="46" s="1"/>
  <c r="Q32" i="13" s="1"/>
  <c r="R73" i="46"/>
  <c r="R99" i="46" s="1"/>
  <c r="R61" i="46"/>
  <c r="R87" i="46" s="1"/>
  <c r="R68" i="46"/>
  <c r="R94" i="46" s="1"/>
  <c r="R62" i="46"/>
  <c r="R88" i="46" s="1"/>
  <c r="R74" i="46"/>
  <c r="R66" i="46"/>
  <c r="R92" i="46" s="1"/>
  <c r="S36" i="46"/>
  <c r="T112" i="46"/>
  <c r="S54" i="46"/>
  <c r="S79" i="46" s="1"/>
  <c r="S105" i="46" s="1"/>
  <c r="S44" i="46"/>
  <c r="S49" i="46"/>
  <c r="V25" i="46"/>
  <c r="V29" i="46"/>
  <c r="V27" i="46"/>
  <c r="V30" i="46"/>
  <c r="V26" i="46"/>
  <c r="V28" i="46"/>
  <c r="V31" i="46"/>
  <c r="V23" i="46"/>
  <c r="V11" i="46"/>
  <c r="V13" i="46"/>
  <c r="V16" i="46"/>
  <c r="V22" i="46"/>
  <c r="V10" i="46"/>
  <c r="V14" i="46"/>
  <c r="V21" i="46"/>
  <c r="V17" i="46"/>
  <c r="V18" i="46"/>
  <c r="V12" i="46"/>
  <c r="V19" i="46"/>
  <c r="V15" i="46"/>
  <c r="S40" i="46"/>
  <c r="S38" i="46"/>
  <c r="S51" i="46"/>
  <c r="S76" i="46" s="1"/>
  <c r="S102" i="46" s="1"/>
  <c r="U28" i="46"/>
  <c r="U25" i="46"/>
  <c r="U29" i="46"/>
  <c r="U27" i="46"/>
  <c r="U26" i="46"/>
  <c r="U31" i="46"/>
  <c r="U30" i="46"/>
  <c r="U12" i="46"/>
  <c r="U15" i="46"/>
  <c r="U22" i="46"/>
  <c r="U10" i="46"/>
  <c r="U21" i="46"/>
  <c r="U13" i="46"/>
  <c r="U11" i="46"/>
  <c r="U16" i="46"/>
  <c r="U17" i="46"/>
  <c r="U18" i="46"/>
  <c r="U23" i="46"/>
  <c r="U19" i="46"/>
  <c r="U14" i="46"/>
  <c r="S39" i="46"/>
  <c r="S45" i="46"/>
  <c r="S57" i="46"/>
  <c r="S82" i="46" s="1"/>
  <c r="S108" i="46" s="1"/>
  <c r="S52" i="46"/>
  <c r="S77" i="46" s="1"/>
  <c r="S103" i="46" s="1"/>
  <c r="S42" i="46"/>
  <c r="S37" i="46"/>
  <c r="S43" i="46"/>
  <c r="S48" i="46"/>
  <c r="S41" i="46"/>
  <c r="S55" i="46"/>
  <c r="S80" i="46" s="1"/>
  <c r="S106" i="46" s="1"/>
  <c r="S56" i="46"/>
  <c r="S81" i="46" s="1"/>
  <c r="S107" i="46" s="1"/>
  <c r="S47" i="46"/>
  <c r="S53" i="46"/>
  <c r="S78" i="46" s="1"/>
  <c r="S104" i="46" s="1"/>
  <c r="U2" i="46"/>
  <c r="U113" i="46" s="1"/>
  <c r="U1" i="46"/>
  <c r="T4" i="46"/>
  <c r="T20" i="46"/>
  <c r="P27" i="13"/>
  <c r="Q86" i="46"/>
  <c r="Q9" i="13" s="1"/>
  <c r="Q60" i="46"/>
  <c r="Q8" i="13" s="1"/>
  <c r="P109" i="46"/>
  <c r="S32" i="46"/>
  <c r="T9" i="46"/>
  <c r="T24" i="46"/>
  <c r="AN45" i="45"/>
  <c r="AN37" i="45"/>
  <c r="AN48" i="45"/>
  <c r="AN49" i="45"/>
  <c r="AN44" i="45"/>
  <c r="AN41" i="45"/>
  <c r="AN36" i="45"/>
  <c r="AN42" i="45"/>
  <c r="AN39" i="45"/>
  <c r="AN52" i="45"/>
  <c r="AN40" i="45"/>
  <c r="AN51" i="45"/>
  <c r="AN50" i="45"/>
  <c r="AN47" i="45"/>
  <c r="AN38" i="45"/>
  <c r="R101" i="46"/>
  <c r="P83" i="46"/>
  <c r="R75" i="46"/>
  <c r="R39" i="13" s="1"/>
  <c r="T49" i="46"/>
  <c r="AO58" i="45"/>
  <c r="AO59" i="45"/>
  <c r="N30" i="49"/>
  <c r="BL30" i="49" s="1"/>
  <c r="BL29" i="49"/>
  <c r="BG5" i="29"/>
  <c r="S14" i="20"/>
  <c r="E14" i="29"/>
  <c r="E18" i="29" s="1"/>
  <c r="F14" i="29"/>
  <c r="F18" i="29" s="1"/>
  <c r="H14" i="29"/>
  <c r="H18" i="29" s="1"/>
  <c r="L14" i="29"/>
  <c r="L18" i="29" s="1"/>
  <c r="M64" i="13"/>
  <c r="N13" i="29" s="1"/>
  <c r="N14" i="29" s="1"/>
  <c r="N18" i="29" s="1"/>
  <c r="N51" i="13"/>
  <c r="N64" i="13"/>
  <c r="O13" i="29" s="1"/>
  <c r="I13" i="19"/>
  <c r="H13" i="19"/>
  <c r="M18" i="29"/>
  <c r="S13" i="49"/>
  <c r="S18" i="48" s="1"/>
  <c r="R18" i="48"/>
  <c r="H9" i="49"/>
  <c r="R26" i="49"/>
  <c r="K14" i="29"/>
  <c r="K18" i="29" s="1"/>
  <c r="Q22" i="25"/>
  <c r="R26" i="13"/>
  <c r="R63" i="13" s="1"/>
  <c r="R9" i="25"/>
  <c r="Z22" i="20"/>
  <c r="T51" i="46"/>
  <c r="T76" i="46" s="1"/>
  <c r="T102" i="46" s="1"/>
  <c r="T53" i="46"/>
  <c r="T78" i="46" s="1"/>
  <c r="T104" i="46" s="1"/>
  <c r="T55" i="46"/>
  <c r="T80" i="46" s="1"/>
  <c r="T106" i="46" s="1"/>
  <c r="T52" i="46"/>
  <c r="T77" i="46" s="1"/>
  <c r="T103" i="46" s="1"/>
  <c r="T54" i="46"/>
  <c r="T79" i="46" s="1"/>
  <c r="T105" i="46" s="1"/>
  <c r="T57" i="46"/>
  <c r="T82" i="46" s="1"/>
  <c r="T108" i="46" s="1"/>
  <c r="T56" i="46"/>
  <c r="T81" i="46" s="1"/>
  <c r="T107" i="46" s="1"/>
  <c r="T40" i="46"/>
  <c r="T42" i="46"/>
  <c r="T41" i="46"/>
  <c r="T44" i="46"/>
  <c r="T43" i="46"/>
  <c r="T45" i="46"/>
  <c r="P12" i="19"/>
  <c r="T16" i="33"/>
  <c r="T13" i="48" s="1"/>
  <c r="T19" i="33"/>
  <c r="V3" i="33"/>
  <c r="V13" i="33" s="1"/>
  <c r="U15" i="33"/>
  <c r="T4" i="33"/>
  <c r="U2" i="33"/>
  <c r="U1" i="33"/>
  <c r="U14" i="33"/>
  <c r="U20" i="33" s="1"/>
  <c r="U26" i="33" s="1"/>
  <c r="S22" i="33"/>
  <c r="S25" i="33"/>
  <c r="S28" i="33" s="1"/>
  <c r="S12" i="48" s="1"/>
  <c r="R9" i="29"/>
  <c r="R19" i="29" s="1"/>
  <c r="T36" i="46"/>
  <c r="T38" i="46"/>
  <c r="T37" i="46"/>
  <c r="T39" i="46"/>
  <c r="P40" i="13"/>
  <c r="P57" i="13" s="1"/>
  <c r="C53" i="13"/>
  <c r="B11" i="25"/>
  <c r="V3" i="11"/>
  <c r="U1" i="11"/>
  <c r="U2" i="11"/>
  <c r="T4" i="11"/>
  <c r="Q40" i="13"/>
  <c r="AB2" i="20"/>
  <c r="AA4" i="20"/>
  <c r="AA21" i="20" s="1"/>
  <c r="AC3" i="20"/>
  <c r="AB1" i="20"/>
  <c r="M13" i="20"/>
  <c r="U2" i="19"/>
  <c r="V3" i="19"/>
  <c r="U1" i="19"/>
  <c r="T4" i="19"/>
  <c r="V2" i="13"/>
  <c r="W3" i="13"/>
  <c r="V1" i="13"/>
  <c r="U4" i="13"/>
  <c r="T2" i="25"/>
  <c r="U3" i="25"/>
  <c r="S4" i="25"/>
  <c r="T1" i="25"/>
  <c r="T47" i="46"/>
  <c r="T72" i="46" s="1"/>
  <c r="T48" i="46"/>
  <c r="V2" i="46"/>
  <c r="W3" i="46"/>
  <c r="V1" i="46"/>
  <c r="U4" i="46"/>
  <c r="T4" i="24"/>
  <c r="U1" i="24"/>
  <c r="V3" i="24"/>
  <c r="U2" i="24"/>
  <c r="X3" i="29"/>
  <c r="W2" i="29"/>
  <c r="V4" i="29"/>
  <c r="W1" i="29"/>
  <c r="AP2" i="45"/>
  <c r="AQ3" i="45"/>
  <c r="AO4" i="45"/>
  <c r="AP1" i="45"/>
  <c r="V2" i="10"/>
  <c r="U4" i="10"/>
  <c r="W3" i="10"/>
  <c r="V1" i="10"/>
  <c r="AO21" i="45"/>
  <c r="AO20" i="45"/>
  <c r="S21" i="49" l="1"/>
  <c r="S10" i="49" s="1"/>
  <c r="W20" i="13"/>
  <c r="W22" i="13"/>
  <c r="W24" i="13"/>
  <c r="W25" i="13"/>
  <c r="W23" i="13"/>
  <c r="W21" i="13"/>
  <c r="H15" i="25"/>
  <c r="H17" i="25"/>
  <c r="H23" i="25" s="1"/>
  <c r="L15" i="25"/>
  <c r="L17" i="25"/>
  <c r="L23" i="25" s="1"/>
  <c r="I15" i="25"/>
  <c r="I17" i="25"/>
  <c r="I23" i="25" s="1"/>
  <c r="U15" i="13"/>
  <c r="U14" i="11"/>
  <c r="U13" i="13"/>
  <c r="U12" i="11"/>
  <c r="U12" i="13"/>
  <c r="U11" i="11"/>
  <c r="AO28" i="45"/>
  <c r="AO33" i="45"/>
  <c r="AO25" i="45"/>
  <c r="AO32" i="45"/>
  <c r="AO34" i="45"/>
  <c r="AO31" i="45"/>
  <c r="AO30" i="45"/>
  <c r="AO27" i="45"/>
  <c r="AO26" i="45"/>
  <c r="AO29" i="45"/>
  <c r="U18" i="13"/>
  <c r="U17" i="11"/>
  <c r="U11" i="13"/>
  <c r="U10" i="11"/>
  <c r="U17" i="13"/>
  <c r="U16" i="11"/>
  <c r="U19" i="13"/>
  <c r="U18" i="11"/>
  <c r="W15" i="10"/>
  <c r="W10" i="10"/>
  <c r="W12" i="10"/>
  <c r="W17" i="10"/>
  <c r="W14" i="10"/>
  <c r="W8" i="10"/>
  <c r="W9" i="10"/>
  <c r="W11" i="10"/>
  <c r="W13" i="10"/>
  <c r="W16" i="10"/>
  <c r="U16" i="13"/>
  <c r="U15" i="11"/>
  <c r="U14" i="13"/>
  <c r="U13" i="11"/>
  <c r="U10" i="13"/>
  <c r="U9" i="11"/>
  <c r="AO12" i="45"/>
  <c r="AO16" i="45"/>
  <c r="AO17" i="45"/>
  <c r="AO15" i="45"/>
  <c r="AO11" i="45"/>
  <c r="AO10" i="45"/>
  <c r="AO13" i="45"/>
  <c r="AO14" i="45"/>
  <c r="AO9" i="45"/>
  <c r="W44" i="13"/>
  <c r="W47" i="13"/>
  <c r="W42" i="13"/>
  <c r="W49" i="13"/>
  <c r="W43" i="13"/>
  <c r="W48" i="13"/>
  <c r="W46" i="13"/>
  <c r="W41" i="13"/>
  <c r="W45" i="13"/>
  <c r="S9" i="49"/>
  <c r="S16" i="48" s="1"/>
  <c r="T24" i="49"/>
  <c r="T59" i="13"/>
  <c r="T20" i="49" s="1"/>
  <c r="T21" i="49" s="1"/>
  <c r="T10" i="49" s="1"/>
  <c r="T19" i="11"/>
  <c r="V8" i="29" s="1"/>
  <c r="AZ24" i="49"/>
  <c r="AO55" i="45"/>
  <c r="AO54" i="45"/>
  <c r="AO53" i="45"/>
  <c r="P50" i="13"/>
  <c r="P62" i="13" s="1"/>
  <c r="Q50" i="13"/>
  <c r="Q51" i="13" s="1"/>
  <c r="P13" i="25" s="1"/>
  <c r="U21" i="33"/>
  <c r="U27" i="33" s="1"/>
  <c r="AO8" i="45"/>
  <c r="J15" i="25"/>
  <c r="G15" i="25"/>
  <c r="E15" i="25"/>
  <c r="C15" i="25"/>
  <c r="F15" i="25"/>
  <c r="Q56" i="13"/>
  <c r="C11" i="49"/>
  <c r="BL26" i="49"/>
  <c r="Q57" i="13"/>
  <c r="W33" i="13"/>
  <c r="W34" i="13"/>
  <c r="O62" i="13"/>
  <c r="O64" i="13" s="1"/>
  <c r="P13" i="29" s="1"/>
  <c r="V61" i="13"/>
  <c r="V60" i="13"/>
  <c r="P28" i="13"/>
  <c r="O10" i="25" s="1"/>
  <c r="O11" i="25" s="1"/>
  <c r="Q35" i="13"/>
  <c r="Q36" i="13" s="1"/>
  <c r="P12" i="25" s="1"/>
  <c r="R71" i="46"/>
  <c r="R31" i="13" s="1"/>
  <c r="R60" i="46"/>
  <c r="R8" i="13" s="1"/>
  <c r="R86" i="46"/>
  <c r="R9" i="13" s="1"/>
  <c r="T74" i="46"/>
  <c r="T100" i="46" s="1"/>
  <c r="T65" i="46"/>
  <c r="T91" i="46" s="1"/>
  <c r="S66" i="46"/>
  <c r="S92" i="46" s="1"/>
  <c r="S61" i="46"/>
  <c r="S87" i="46" s="1"/>
  <c r="S70" i="46"/>
  <c r="S96" i="46" s="1"/>
  <c r="R100" i="46"/>
  <c r="R97" i="46" s="1"/>
  <c r="R32" i="13" s="1"/>
  <c r="T62" i="46"/>
  <c r="T88" i="46" s="1"/>
  <c r="T68" i="46"/>
  <c r="T94" i="46" s="1"/>
  <c r="T63" i="46"/>
  <c r="T89" i="46" s="1"/>
  <c r="T69" i="46"/>
  <c r="T95" i="46" s="1"/>
  <c r="S72" i="46"/>
  <c r="S98" i="46" s="1"/>
  <c r="S63" i="46"/>
  <c r="S89" i="46" s="1"/>
  <c r="S74" i="46"/>
  <c r="S100" i="46" s="1"/>
  <c r="T70" i="46"/>
  <c r="T96" i="46" s="1"/>
  <c r="S73" i="46"/>
  <c r="S99" i="46" s="1"/>
  <c r="T61" i="46"/>
  <c r="T87" i="46" s="1"/>
  <c r="T66" i="46"/>
  <c r="T92" i="46" s="1"/>
  <c r="S68" i="46"/>
  <c r="S94" i="46" s="1"/>
  <c r="S67" i="46"/>
  <c r="S93" i="46" s="1"/>
  <c r="S64" i="46"/>
  <c r="S90" i="46" s="1"/>
  <c r="S65" i="46"/>
  <c r="S91" i="46" s="1"/>
  <c r="S69" i="46"/>
  <c r="S95" i="46" s="1"/>
  <c r="T64" i="46"/>
  <c r="T90" i="46" s="1"/>
  <c r="S62" i="46"/>
  <c r="S88" i="46" s="1"/>
  <c r="T73" i="46"/>
  <c r="T99" i="46" s="1"/>
  <c r="T67" i="46"/>
  <c r="T93" i="46" s="1"/>
  <c r="U112" i="46"/>
  <c r="P29" i="49"/>
  <c r="P30" i="49" s="1"/>
  <c r="Q83" i="46"/>
  <c r="U20" i="46"/>
  <c r="W26" i="46"/>
  <c r="W25" i="46"/>
  <c r="W30" i="46"/>
  <c r="W28" i="46"/>
  <c r="W31" i="46"/>
  <c r="W27" i="46"/>
  <c r="W29" i="46"/>
  <c r="W12" i="46"/>
  <c r="W14" i="46"/>
  <c r="W17" i="46"/>
  <c r="W23" i="46"/>
  <c r="W11" i="46"/>
  <c r="W22" i="46"/>
  <c r="W10" i="46"/>
  <c r="W15" i="46"/>
  <c r="W13" i="46"/>
  <c r="W21" i="46"/>
  <c r="W16" i="46"/>
  <c r="W18" i="46"/>
  <c r="W19" i="46"/>
  <c r="U24" i="46"/>
  <c r="U9" i="46"/>
  <c r="Q27" i="13"/>
  <c r="T32" i="46"/>
  <c r="V9" i="46"/>
  <c r="T101" i="46"/>
  <c r="AO45" i="45"/>
  <c r="AO37" i="45"/>
  <c r="AO49" i="45"/>
  <c r="AO48" i="45"/>
  <c r="AO42" i="45"/>
  <c r="AO36" i="45"/>
  <c r="AO50" i="45"/>
  <c r="AO47" i="45"/>
  <c r="AO44" i="45"/>
  <c r="AO52" i="45"/>
  <c r="AO41" i="45"/>
  <c r="AO39" i="45"/>
  <c r="AO40" i="45"/>
  <c r="AO38" i="45"/>
  <c r="AO51" i="45"/>
  <c r="S101" i="46"/>
  <c r="S75" i="46"/>
  <c r="S39" i="13" s="1"/>
  <c r="T75" i="46"/>
  <c r="U49" i="46"/>
  <c r="V24" i="46"/>
  <c r="AP58" i="45"/>
  <c r="AP59" i="45"/>
  <c r="BH5" i="29"/>
  <c r="W13" i="20"/>
  <c r="O14" i="20"/>
  <c r="P14" i="20"/>
  <c r="E13" i="19"/>
  <c r="D13" i="19"/>
  <c r="G13" i="19"/>
  <c r="K13" i="19"/>
  <c r="M13" i="19"/>
  <c r="M13" i="25"/>
  <c r="M14" i="25" s="1"/>
  <c r="M17" i="25" s="1"/>
  <c r="M23" i="25" s="1"/>
  <c r="N53" i="13"/>
  <c r="O14" i="29" s="1"/>
  <c r="O18" i="29" s="1"/>
  <c r="T98" i="46"/>
  <c r="V20" i="46"/>
  <c r="S10" i="48"/>
  <c r="J13" i="19"/>
  <c r="T13" i="49"/>
  <c r="R11" i="49"/>
  <c r="H16" i="48"/>
  <c r="D14" i="29"/>
  <c r="R22" i="25"/>
  <c r="S26" i="13"/>
  <c r="S63" i="13" s="1"/>
  <c r="S9" i="25"/>
  <c r="O51" i="13"/>
  <c r="N13" i="25" s="1"/>
  <c r="N14" i="25" s="1"/>
  <c r="AA22" i="20"/>
  <c r="U52" i="46"/>
  <c r="U54" i="46"/>
  <c r="U51" i="46"/>
  <c r="U53" i="46"/>
  <c r="U56" i="46"/>
  <c r="U55" i="46"/>
  <c r="U57" i="46"/>
  <c r="U41" i="46"/>
  <c r="U40" i="46"/>
  <c r="U42" i="46"/>
  <c r="U43" i="46"/>
  <c r="U45" i="46"/>
  <c r="U44" i="46"/>
  <c r="Q12" i="19"/>
  <c r="U19" i="33"/>
  <c r="U16" i="33"/>
  <c r="U13" i="48" s="1"/>
  <c r="T22" i="33"/>
  <c r="T25" i="33"/>
  <c r="T28" i="33" s="1"/>
  <c r="T12" i="48" s="1"/>
  <c r="T10" i="48" s="1"/>
  <c r="V15" i="33"/>
  <c r="V14" i="33"/>
  <c r="V20" i="33" s="1"/>
  <c r="V26" i="33" s="1"/>
  <c r="V2" i="33"/>
  <c r="V1" i="33"/>
  <c r="W3" i="33"/>
  <c r="W13" i="33" s="1"/>
  <c r="U4" i="33"/>
  <c r="S9" i="29"/>
  <c r="S19" i="29" s="1"/>
  <c r="U37" i="46"/>
  <c r="U39" i="46"/>
  <c r="U36" i="46"/>
  <c r="U38" i="46"/>
  <c r="Q109" i="46"/>
  <c r="B14" i="25"/>
  <c r="W3" i="11"/>
  <c r="V2" i="11"/>
  <c r="V1" i="11"/>
  <c r="U4" i="11"/>
  <c r="G14" i="29"/>
  <c r="G18" i="29" s="1"/>
  <c r="AC2" i="20"/>
  <c r="AD3" i="20"/>
  <c r="AB4" i="20"/>
  <c r="AB21" i="20" s="1"/>
  <c r="AC1" i="20"/>
  <c r="R40" i="13"/>
  <c r="V2" i="19"/>
  <c r="W3" i="19"/>
  <c r="U4" i="19"/>
  <c r="V1" i="19"/>
  <c r="U47" i="46"/>
  <c r="U72" i="46" s="1"/>
  <c r="U48" i="46"/>
  <c r="U2" i="25"/>
  <c r="V3" i="25"/>
  <c r="U1" i="25"/>
  <c r="T4" i="25"/>
  <c r="W2" i="13"/>
  <c r="X3" i="13"/>
  <c r="W1" i="13"/>
  <c r="V4" i="13"/>
  <c r="W2" i="46"/>
  <c r="X3" i="46"/>
  <c r="W1" i="46"/>
  <c r="V4" i="46"/>
  <c r="V113" i="46"/>
  <c r="V112" i="46"/>
  <c r="AP21" i="45"/>
  <c r="AP20" i="45"/>
  <c r="Y3" i="29"/>
  <c r="X2" i="29"/>
  <c r="X1" i="29"/>
  <c r="W4" i="29"/>
  <c r="U4" i="24"/>
  <c r="V1" i="24"/>
  <c r="V2" i="24"/>
  <c r="W3" i="24"/>
  <c r="W2" i="10"/>
  <c r="V4" i="10"/>
  <c r="X3" i="10"/>
  <c r="W1" i="10"/>
  <c r="AQ2" i="45"/>
  <c r="AR3" i="45"/>
  <c r="AP4" i="45"/>
  <c r="AQ1" i="45"/>
  <c r="U58" i="13" l="1"/>
  <c r="U19" i="49" s="1"/>
  <c r="X20" i="13"/>
  <c r="X22" i="13"/>
  <c r="X24" i="13"/>
  <c r="X21" i="13"/>
  <c r="X25" i="13"/>
  <c r="X23" i="13"/>
  <c r="N17" i="25"/>
  <c r="N23" i="25" s="1"/>
  <c r="B17" i="25"/>
  <c r="B23" i="25" s="1"/>
  <c r="V11" i="13"/>
  <c r="V10" i="11"/>
  <c r="V10" i="13"/>
  <c r="V9" i="11"/>
  <c r="V16" i="13"/>
  <c r="V15" i="11"/>
  <c r="V19" i="13"/>
  <c r="V18" i="11"/>
  <c r="V14" i="13"/>
  <c r="V13" i="11"/>
  <c r="V12" i="13"/>
  <c r="V11" i="11"/>
  <c r="V17" i="13"/>
  <c r="V16" i="11"/>
  <c r="V13" i="13"/>
  <c r="V12" i="11"/>
  <c r="V18" i="13"/>
  <c r="V17" i="11"/>
  <c r="X12" i="10"/>
  <c r="X15" i="10"/>
  <c r="X9" i="10"/>
  <c r="X10" i="10"/>
  <c r="X17" i="10"/>
  <c r="X14" i="10"/>
  <c r="X8" i="10"/>
  <c r="X16" i="10"/>
  <c r="X11" i="10"/>
  <c r="X13" i="10"/>
  <c r="AP28" i="45"/>
  <c r="AP30" i="45"/>
  <c r="AP25" i="45"/>
  <c r="AP32" i="45"/>
  <c r="AP31" i="45"/>
  <c r="AP33" i="45"/>
  <c r="AP34" i="45"/>
  <c r="AP26" i="45"/>
  <c r="AP27" i="45"/>
  <c r="AP29" i="45"/>
  <c r="V15" i="13"/>
  <c r="V14" i="11"/>
  <c r="AP11" i="45"/>
  <c r="AP10" i="45"/>
  <c r="AP15" i="45"/>
  <c r="AP17" i="45"/>
  <c r="AP16" i="45"/>
  <c r="AP14" i="45"/>
  <c r="AP12" i="45"/>
  <c r="AP13" i="45"/>
  <c r="AP9" i="45"/>
  <c r="X41" i="13"/>
  <c r="X49" i="13"/>
  <c r="X44" i="13"/>
  <c r="X47" i="13"/>
  <c r="X45" i="13"/>
  <c r="X42" i="13"/>
  <c r="X46" i="13"/>
  <c r="X48" i="13"/>
  <c r="X43" i="13"/>
  <c r="U24" i="49"/>
  <c r="U59" i="13"/>
  <c r="U20" i="49" s="1"/>
  <c r="U21" i="49" s="1"/>
  <c r="U10" i="49" s="1"/>
  <c r="U19" i="11"/>
  <c r="W8" i="29" s="1"/>
  <c r="BA24" i="49"/>
  <c r="V21" i="33"/>
  <c r="V27" i="33" s="1"/>
  <c r="R50" i="13"/>
  <c r="R51" i="13" s="1"/>
  <c r="Q13" i="25" s="1"/>
  <c r="AP54" i="45"/>
  <c r="AP55" i="45"/>
  <c r="AP53" i="45"/>
  <c r="AP8" i="45"/>
  <c r="M15" i="25"/>
  <c r="Q29" i="49"/>
  <c r="Q30" i="49" s="1"/>
  <c r="C9" i="49"/>
  <c r="BL11" i="49"/>
  <c r="W61" i="13"/>
  <c r="R56" i="13"/>
  <c r="Q28" i="13"/>
  <c r="P10" i="25" s="1"/>
  <c r="P11" i="25" s="1"/>
  <c r="P14" i="25" s="1"/>
  <c r="P17" i="25" s="1"/>
  <c r="P23" i="25" s="1"/>
  <c r="Q62" i="13"/>
  <c r="Q64" i="13" s="1"/>
  <c r="R13" i="29" s="1"/>
  <c r="R14" i="29" s="1"/>
  <c r="Q13" i="19" s="1"/>
  <c r="W60" i="13"/>
  <c r="R57" i="13"/>
  <c r="X33" i="13"/>
  <c r="X34" i="13"/>
  <c r="R27" i="13"/>
  <c r="R28" i="13" s="1"/>
  <c r="Q10" i="25" s="1"/>
  <c r="Q11" i="25" s="1"/>
  <c r="R83" i="46"/>
  <c r="T71" i="46"/>
  <c r="T31" i="13" s="1"/>
  <c r="R35" i="13"/>
  <c r="R36" i="13" s="1"/>
  <c r="Q12" i="25" s="1"/>
  <c r="S71" i="46"/>
  <c r="S31" i="13" s="1"/>
  <c r="S97" i="46"/>
  <c r="S32" i="13" s="1"/>
  <c r="S60" i="46"/>
  <c r="S8" i="13" s="1"/>
  <c r="U74" i="46"/>
  <c r="U100" i="46" s="1"/>
  <c r="S86" i="46"/>
  <c r="U61" i="46"/>
  <c r="U87" i="46" s="1"/>
  <c r="U70" i="46"/>
  <c r="U96" i="46" s="1"/>
  <c r="U69" i="46"/>
  <c r="U95" i="46" s="1"/>
  <c r="U64" i="46"/>
  <c r="U90" i="46" s="1"/>
  <c r="U68" i="46"/>
  <c r="U94" i="46" s="1"/>
  <c r="U63" i="46"/>
  <c r="U89" i="46" s="1"/>
  <c r="U62" i="46"/>
  <c r="U88" i="46" s="1"/>
  <c r="U67" i="46"/>
  <c r="U93" i="46" s="1"/>
  <c r="U73" i="46"/>
  <c r="U99" i="46" s="1"/>
  <c r="U65" i="46"/>
  <c r="U91" i="46" s="1"/>
  <c r="U66" i="46"/>
  <c r="U92" i="46" s="1"/>
  <c r="U32" i="46"/>
  <c r="X27" i="46"/>
  <c r="X26" i="46"/>
  <c r="X30" i="46"/>
  <c r="X31" i="46"/>
  <c r="X25" i="46"/>
  <c r="X28" i="46"/>
  <c r="X29" i="46"/>
  <c r="X21" i="46"/>
  <c r="X18" i="46"/>
  <c r="X23" i="46"/>
  <c r="X11" i="46"/>
  <c r="X15" i="46"/>
  <c r="X10" i="46"/>
  <c r="X14" i="46"/>
  <c r="X13" i="46"/>
  <c r="X22" i="46"/>
  <c r="X16" i="46"/>
  <c r="X17" i="46"/>
  <c r="X19" i="46"/>
  <c r="X12" i="46"/>
  <c r="T86" i="46"/>
  <c r="T9" i="13" s="1"/>
  <c r="T60" i="46"/>
  <c r="T8" i="13" s="1"/>
  <c r="W9" i="46"/>
  <c r="AP49" i="45"/>
  <c r="AP44" i="45"/>
  <c r="AP48" i="45"/>
  <c r="AP39" i="45"/>
  <c r="AP51" i="45"/>
  <c r="AP45" i="45"/>
  <c r="AP42" i="45"/>
  <c r="AP36" i="45"/>
  <c r="AP37" i="45"/>
  <c r="AP41" i="45"/>
  <c r="AP40" i="45"/>
  <c r="AP38" i="45"/>
  <c r="AP47" i="45"/>
  <c r="AP52" i="45"/>
  <c r="AP50" i="45"/>
  <c r="T97" i="46"/>
  <c r="T32" i="13" s="1"/>
  <c r="U80" i="46"/>
  <c r="U106" i="46" s="1"/>
  <c r="U78" i="46"/>
  <c r="U104" i="46" s="1"/>
  <c r="U76" i="46"/>
  <c r="U102" i="46" s="1"/>
  <c r="U79" i="46"/>
  <c r="U105" i="46" s="1"/>
  <c r="U77" i="46"/>
  <c r="U103" i="46" s="1"/>
  <c r="U81" i="46"/>
  <c r="U107" i="46" s="1"/>
  <c r="U82" i="46"/>
  <c r="U108" i="46" s="1"/>
  <c r="V49" i="46"/>
  <c r="W24" i="46"/>
  <c r="AQ58" i="45"/>
  <c r="AQ59" i="45"/>
  <c r="BI5" i="29"/>
  <c r="N14" i="20"/>
  <c r="K14" i="20"/>
  <c r="X13" i="20"/>
  <c r="Q14" i="20"/>
  <c r="L14" i="20"/>
  <c r="T14" i="20"/>
  <c r="R14" i="20"/>
  <c r="N13" i="19"/>
  <c r="P51" i="13"/>
  <c r="O13" i="25" s="1"/>
  <c r="O14" i="25" s="1"/>
  <c r="O17" i="25" s="1"/>
  <c r="O23" i="25" s="1"/>
  <c r="U98" i="46"/>
  <c r="W20" i="46"/>
  <c r="O53" i="13"/>
  <c r="P14" i="29" s="1"/>
  <c r="P18" i="29" s="1"/>
  <c r="T26" i="49"/>
  <c r="U13" i="49"/>
  <c r="R9" i="49"/>
  <c r="T18" i="48"/>
  <c r="S22" i="25"/>
  <c r="T26" i="13"/>
  <c r="T63" i="13" s="1"/>
  <c r="N15" i="25"/>
  <c r="T9" i="25"/>
  <c r="AB22" i="20"/>
  <c r="V51" i="46"/>
  <c r="V53" i="46"/>
  <c r="V55" i="46"/>
  <c r="V52" i="46"/>
  <c r="V54" i="46"/>
  <c r="V57" i="46"/>
  <c r="V56" i="46"/>
  <c r="V40" i="46"/>
  <c r="V42" i="46"/>
  <c r="V41" i="46"/>
  <c r="V44" i="46"/>
  <c r="V43" i="46"/>
  <c r="V45" i="46"/>
  <c r="R12" i="19"/>
  <c r="X3" i="33"/>
  <c r="X13" i="33" s="1"/>
  <c r="W15" i="33"/>
  <c r="W1" i="33"/>
  <c r="W14" i="33"/>
  <c r="W20" i="33" s="1"/>
  <c r="W26" i="33" s="1"/>
  <c r="W2" i="33"/>
  <c r="V4" i="33"/>
  <c r="V16" i="33"/>
  <c r="V13" i="48" s="1"/>
  <c r="V19" i="33"/>
  <c r="U25" i="33"/>
  <c r="U28" i="33" s="1"/>
  <c r="U12" i="48" s="1"/>
  <c r="U10" i="48" s="1"/>
  <c r="U22" i="33"/>
  <c r="T9" i="29"/>
  <c r="T19" i="29" s="1"/>
  <c r="V36" i="46"/>
  <c r="V38" i="46"/>
  <c r="V37" i="46"/>
  <c r="V39" i="46"/>
  <c r="R109" i="46"/>
  <c r="B15" i="25"/>
  <c r="X3" i="11"/>
  <c r="W1" i="11"/>
  <c r="W2" i="11"/>
  <c r="V4" i="11"/>
  <c r="AD2" i="20"/>
  <c r="AC4" i="20"/>
  <c r="AC21" i="20" s="1"/>
  <c r="AE3" i="20"/>
  <c r="AD1" i="20"/>
  <c r="F13" i="19"/>
  <c r="D18" i="29"/>
  <c r="C13" i="19"/>
  <c r="W2" i="19"/>
  <c r="X3" i="19"/>
  <c r="V4" i="19"/>
  <c r="W1" i="19"/>
  <c r="V48" i="46"/>
  <c r="V47" i="46"/>
  <c r="V72" i="46" s="1"/>
  <c r="W112" i="46"/>
  <c r="W113" i="46"/>
  <c r="X2" i="13"/>
  <c r="Y3" i="13"/>
  <c r="X1" i="13"/>
  <c r="W4" i="13"/>
  <c r="V2" i="25"/>
  <c r="W3" i="25"/>
  <c r="U4" i="25"/>
  <c r="V1" i="25"/>
  <c r="X2" i="46"/>
  <c r="Y3" i="46"/>
  <c r="W4" i="46"/>
  <c r="X1" i="46"/>
  <c r="V32" i="46"/>
  <c r="T39" i="13"/>
  <c r="AR2" i="45"/>
  <c r="AS3" i="45"/>
  <c r="AQ4" i="45"/>
  <c r="AR1" i="45"/>
  <c r="V4" i="24"/>
  <c r="W1" i="24"/>
  <c r="W2" i="24"/>
  <c r="X3" i="24"/>
  <c r="AQ21" i="45"/>
  <c r="AQ20" i="45"/>
  <c r="X2" i="10"/>
  <c r="W4" i="10"/>
  <c r="Y3" i="10"/>
  <c r="X1" i="10"/>
  <c r="Z3" i="29"/>
  <c r="Y2" i="29"/>
  <c r="X4" i="29"/>
  <c r="Y1" i="29"/>
  <c r="V58" i="13" l="1"/>
  <c r="V19" i="49" s="1"/>
  <c r="Y20" i="13"/>
  <c r="Y22" i="13"/>
  <c r="Y24" i="13"/>
  <c r="Y21" i="13"/>
  <c r="Y23" i="13"/>
  <c r="Y25" i="13"/>
  <c r="W15" i="13"/>
  <c r="W14" i="11"/>
  <c r="W13" i="13"/>
  <c r="W12" i="11"/>
  <c r="W18" i="13"/>
  <c r="W17" i="11"/>
  <c r="W10" i="13"/>
  <c r="W9" i="11"/>
  <c r="W16" i="13"/>
  <c r="W15" i="11"/>
  <c r="W19" i="13"/>
  <c r="W18" i="11"/>
  <c r="W17" i="13"/>
  <c r="W16" i="11"/>
  <c r="W14" i="13"/>
  <c r="W13" i="11"/>
  <c r="W12" i="13"/>
  <c r="W11" i="11"/>
  <c r="Y9" i="10"/>
  <c r="Y12" i="10"/>
  <c r="Y15" i="10"/>
  <c r="Y10" i="10"/>
  <c r="Y13" i="10"/>
  <c r="Y16" i="10"/>
  <c r="Y17" i="10"/>
  <c r="Y14" i="10"/>
  <c r="Y8" i="10"/>
  <c r="Y11" i="10"/>
  <c r="W11" i="13"/>
  <c r="W10" i="11"/>
  <c r="AQ25" i="45"/>
  <c r="AQ28" i="45"/>
  <c r="AQ30" i="45"/>
  <c r="AQ32" i="45"/>
  <c r="AQ31" i="45"/>
  <c r="AQ34" i="45"/>
  <c r="AQ33" i="45"/>
  <c r="AQ26" i="45"/>
  <c r="AQ27" i="45"/>
  <c r="AQ29" i="45"/>
  <c r="AQ14" i="45"/>
  <c r="AQ10" i="45"/>
  <c r="AQ17" i="45"/>
  <c r="AQ12" i="45"/>
  <c r="AQ15" i="45"/>
  <c r="AQ16" i="45"/>
  <c r="AQ13" i="45"/>
  <c r="AQ11" i="45"/>
  <c r="AQ9" i="45"/>
  <c r="Y46" i="13"/>
  <c r="Y41" i="13"/>
  <c r="Y44" i="13"/>
  <c r="Y43" i="13"/>
  <c r="Y48" i="13"/>
  <c r="Y45" i="13"/>
  <c r="Y42" i="13"/>
  <c r="Y47" i="13"/>
  <c r="Y49" i="13"/>
  <c r="V59" i="13"/>
  <c r="V20" i="49" s="1"/>
  <c r="V21" i="49" s="1"/>
  <c r="V10" i="49" s="1"/>
  <c r="V24" i="49"/>
  <c r="V26" i="49" s="1"/>
  <c r="V11" i="49" s="1"/>
  <c r="W21" i="33"/>
  <c r="W27" i="33" s="1"/>
  <c r="V19" i="11"/>
  <c r="X8" i="29" s="1"/>
  <c r="BB24" i="49"/>
  <c r="AQ54" i="45"/>
  <c r="AQ55" i="45"/>
  <c r="AQ53" i="45"/>
  <c r="S83" i="46"/>
  <c r="AQ8" i="45"/>
  <c r="P15" i="25"/>
  <c r="O15" i="25"/>
  <c r="BL9" i="49"/>
  <c r="C16" i="48"/>
  <c r="S56" i="13"/>
  <c r="X60" i="13"/>
  <c r="Q53" i="13"/>
  <c r="X61" i="13"/>
  <c r="T56" i="13"/>
  <c r="R62" i="13"/>
  <c r="R64" i="13" s="1"/>
  <c r="S13" i="29" s="1"/>
  <c r="S14" i="29" s="1"/>
  <c r="S18" i="29" s="1"/>
  <c r="Y34" i="13"/>
  <c r="Y33" i="13"/>
  <c r="T35" i="13"/>
  <c r="T36" i="13" s="1"/>
  <c r="S12" i="25" s="1"/>
  <c r="R29" i="49"/>
  <c r="R30" i="49" s="1"/>
  <c r="Q14" i="25"/>
  <c r="Q17" i="25" s="1"/>
  <c r="Q23" i="25" s="1"/>
  <c r="U71" i="46"/>
  <c r="U31" i="13" s="1"/>
  <c r="S9" i="13"/>
  <c r="S109" i="46"/>
  <c r="S35" i="13"/>
  <c r="S36" i="13" s="1"/>
  <c r="R12" i="25" s="1"/>
  <c r="V74" i="46"/>
  <c r="V100" i="46" s="1"/>
  <c r="V62" i="46"/>
  <c r="V88" i="46" s="1"/>
  <c r="V68" i="46"/>
  <c r="V94" i="46" s="1"/>
  <c r="V64" i="46"/>
  <c r="V90" i="46" s="1"/>
  <c r="V70" i="46"/>
  <c r="V96" i="46" s="1"/>
  <c r="V63" i="46"/>
  <c r="V89" i="46" s="1"/>
  <c r="V69" i="46"/>
  <c r="V95" i="46" s="1"/>
  <c r="V61" i="46"/>
  <c r="V87" i="46" s="1"/>
  <c r="V66" i="46"/>
  <c r="V92" i="46" s="1"/>
  <c r="V73" i="46"/>
  <c r="V99" i="46" s="1"/>
  <c r="V67" i="46"/>
  <c r="V93" i="46" s="1"/>
  <c r="V65" i="46"/>
  <c r="V91" i="46" s="1"/>
  <c r="Y28" i="46"/>
  <c r="Y27" i="46"/>
  <c r="Y26" i="46"/>
  <c r="Y29" i="46"/>
  <c r="Y30" i="46"/>
  <c r="Y31" i="46"/>
  <c r="Y25" i="46"/>
  <c r="Y19" i="46"/>
  <c r="Y23" i="46"/>
  <c r="Y11" i="46"/>
  <c r="Y13" i="46"/>
  <c r="Y16" i="46"/>
  <c r="Y12" i="46"/>
  <c r="Y10" i="46"/>
  <c r="Y15" i="46"/>
  <c r="Y14" i="46"/>
  <c r="Y21" i="46"/>
  <c r="Y22" i="46"/>
  <c r="Y17" i="46"/>
  <c r="Y18" i="46"/>
  <c r="U86" i="46"/>
  <c r="U9" i="13" s="1"/>
  <c r="U60" i="46"/>
  <c r="U8" i="13" s="1"/>
  <c r="X9" i="46"/>
  <c r="AQ44" i="45"/>
  <c r="AQ48" i="45"/>
  <c r="AQ37" i="45"/>
  <c r="AQ49" i="45"/>
  <c r="AQ52" i="45"/>
  <c r="AQ38" i="45"/>
  <c r="AQ41" i="45"/>
  <c r="AQ39" i="45"/>
  <c r="AQ36" i="45"/>
  <c r="AQ51" i="45"/>
  <c r="AQ45" i="45"/>
  <c r="AQ40" i="45"/>
  <c r="AQ42" i="45"/>
  <c r="AQ47" i="45"/>
  <c r="AQ50" i="45"/>
  <c r="U101" i="46"/>
  <c r="U97" i="46"/>
  <c r="U32" i="13" s="1"/>
  <c r="V82" i="46"/>
  <c r="V108" i="46" s="1"/>
  <c r="U75" i="46"/>
  <c r="U39" i="13" s="1"/>
  <c r="V79" i="46"/>
  <c r="V105" i="46" s="1"/>
  <c r="V77" i="46"/>
  <c r="V103" i="46" s="1"/>
  <c r="V80" i="46"/>
  <c r="V106" i="46" s="1"/>
  <c r="V78" i="46"/>
  <c r="V104" i="46" s="1"/>
  <c r="V81" i="46"/>
  <c r="V107" i="46" s="1"/>
  <c r="V76" i="46"/>
  <c r="V102" i="46" s="1"/>
  <c r="W49" i="46"/>
  <c r="X24" i="46"/>
  <c r="AR58" i="45"/>
  <c r="AR59" i="45"/>
  <c r="BJ5" i="29"/>
  <c r="Y13" i="20"/>
  <c r="U14" i="20"/>
  <c r="X14" i="20"/>
  <c r="R53" i="13"/>
  <c r="P53" i="13"/>
  <c r="P64" i="13"/>
  <c r="Q13" i="29" s="1"/>
  <c r="Q14" i="29" s="1"/>
  <c r="Q18" i="29" s="1"/>
  <c r="V98" i="46"/>
  <c r="X20" i="46"/>
  <c r="U26" i="49"/>
  <c r="U11" i="49" s="1"/>
  <c r="U9" i="49" s="1"/>
  <c r="U16" i="48" s="1"/>
  <c r="U18" i="48"/>
  <c r="R18" i="29"/>
  <c r="T27" i="13"/>
  <c r="O13" i="19"/>
  <c r="V13" i="49"/>
  <c r="R16" i="48"/>
  <c r="T11" i="49"/>
  <c r="T22" i="25"/>
  <c r="U26" i="13"/>
  <c r="U63" i="13" s="1"/>
  <c r="U9" i="25"/>
  <c r="AC22" i="20"/>
  <c r="W52" i="46"/>
  <c r="W54" i="46"/>
  <c r="W51" i="46"/>
  <c r="W53" i="46"/>
  <c r="W55" i="46"/>
  <c r="W56" i="46"/>
  <c r="W57" i="46"/>
  <c r="W41" i="46"/>
  <c r="W40" i="46"/>
  <c r="W42" i="46"/>
  <c r="W43" i="46"/>
  <c r="W45" i="46"/>
  <c r="W44" i="46"/>
  <c r="V22" i="33"/>
  <c r="V25" i="33"/>
  <c r="V28" i="33" s="1"/>
  <c r="V12" i="48" s="1"/>
  <c r="V10" i="48" s="1"/>
  <c r="W16" i="33"/>
  <c r="W13" i="48" s="1"/>
  <c r="W19" i="33"/>
  <c r="Y3" i="33"/>
  <c r="Y13" i="33" s="1"/>
  <c r="X2" i="33"/>
  <c r="X1" i="33"/>
  <c r="X15" i="33"/>
  <c r="X14" i="33"/>
  <c r="X20" i="33" s="1"/>
  <c r="X26" i="33" s="1"/>
  <c r="W4" i="33"/>
  <c r="W37" i="46"/>
  <c r="W39" i="46"/>
  <c r="W36" i="46"/>
  <c r="W38" i="46"/>
  <c r="S40" i="13"/>
  <c r="S50" i="13" s="1"/>
  <c r="S12" i="19"/>
  <c r="V9" i="29"/>
  <c r="V19" i="29" s="1"/>
  <c r="T40" i="13"/>
  <c r="T57" i="13" s="1"/>
  <c r="Y3" i="11"/>
  <c r="X2" i="11"/>
  <c r="X1" i="11"/>
  <c r="W4" i="11"/>
  <c r="D21" i="29"/>
  <c r="D20" i="29"/>
  <c r="J14" i="20"/>
  <c r="M14" i="20"/>
  <c r="AD4" i="20"/>
  <c r="AD21" i="20" s="1"/>
  <c r="AE1" i="20"/>
  <c r="AE2" i="20"/>
  <c r="AF3" i="20"/>
  <c r="X2" i="19"/>
  <c r="Y3" i="19"/>
  <c r="X1" i="19"/>
  <c r="W4" i="19"/>
  <c r="W32" i="46"/>
  <c r="Y2" i="46"/>
  <c r="Z3" i="46"/>
  <c r="X4" i="46"/>
  <c r="Y1" i="46"/>
  <c r="X112" i="46"/>
  <c r="X113" i="46"/>
  <c r="T83" i="46"/>
  <c r="W2" i="25"/>
  <c r="X3" i="25"/>
  <c r="W1" i="25"/>
  <c r="V4" i="25"/>
  <c r="Y2" i="13"/>
  <c r="Z3" i="13"/>
  <c r="Y1" i="13"/>
  <c r="X4" i="13"/>
  <c r="W47" i="46"/>
  <c r="W72" i="46" s="1"/>
  <c r="W48" i="46"/>
  <c r="AA3" i="29"/>
  <c r="Z2" i="29"/>
  <c r="Z1" i="29"/>
  <c r="Y4" i="29"/>
  <c r="W4" i="24"/>
  <c r="X1" i="24"/>
  <c r="X2" i="24"/>
  <c r="Y3" i="24"/>
  <c r="AS2" i="45"/>
  <c r="AT3" i="45"/>
  <c r="AS1" i="45"/>
  <c r="AR4" i="45"/>
  <c r="Y2" i="10"/>
  <c r="Z3" i="10"/>
  <c r="X4" i="10"/>
  <c r="Y1" i="10"/>
  <c r="AR21" i="45"/>
  <c r="AR20" i="45"/>
  <c r="W58" i="13" l="1"/>
  <c r="W19" i="49" s="1"/>
  <c r="Z21" i="13"/>
  <c r="Z24" i="13"/>
  <c r="Z22" i="13"/>
  <c r="Z20" i="13"/>
  <c r="Z25" i="13"/>
  <c r="Z23" i="13"/>
  <c r="X14" i="13"/>
  <c r="X13" i="11"/>
  <c r="X11" i="13"/>
  <c r="X10" i="11"/>
  <c r="AR25" i="45"/>
  <c r="AR28" i="45"/>
  <c r="AR26" i="45"/>
  <c r="AR31" i="45"/>
  <c r="AR34" i="45"/>
  <c r="AR32" i="45"/>
  <c r="AR33" i="45"/>
  <c r="AR27" i="45"/>
  <c r="AR29" i="45"/>
  <c r="AR30" i="45"/>
  <c r="X13" i="13"/>
  <c r="X12" i="11"/>
  <c r="X10" i="13"/>
  <c r="X9" i="11"/>
  <c r="X16" i="13"/>
  <c r="X15" i="11"/>
  <c r="X19" i="13"/>
  <c r="X18" i="11"/>
  <c r="X15" i="13"/>
  <c r="X14" i="11"/>
  <c r="X12" i="13"/>
  <c r="X11" i="11"/>
  <c r="Z9" i="10"/>
  <c r="Z12" i="10"/>
  <c r="Z8" i="10"/>
  <c r="Z11" i="10"/>
  <c r="Z14" i="10"/>
  <c r="Z17" i="10"/>
  <c r="Z10" i="10"/>
  <c r="Z13" i="10"/>
  <c r="Z16" i="10"/>
  <c r="Z15" i="10"/>
  <c r="X18" i="13"/>
  <c r="X17" i="11"/>
  <c r="X17" i="13"/>
  <c r="X16" i="11"/>
  <c r="AR14" i="45"/>
  <c r="AR16" i="45"/>
  <c r="AR11" i="45"/>
  <c r="AR10" i="45"/>
  <c r="AR15" i="45"/>
  <c r="AR13" i="45"/>
  <c r="AR12" i="45"/>
  <c r="AR17" i="45"/>
  <c r="AR9" i="45"/>
  <c r="Z43" i="13"/>
  <c r="Z46" i="13"/>
  <c r="Z41" i="13"/>
  <c r="Z49" i="13"/>
  <c r="Z48" i="13"/>
  <c r="Z45" i="13"/>
  <c r="Z42" i="13"/>
  <c r="Z47" i="13"/>
  <c r="Z44" i="13"/>
  <c r="X21" i="33"/>
  <c r="X27" i="33" s="1"/>
  <c r="W24" i="49"/>
  <c r="W26" i="49" s="1"/>
  <c r="V9" i="49"/>
  <c r="V16" i="48" s="1"/>
  <c r="W19" i="11"/>
  <c r="Y8" i="29" s="1"/>
  <c r="BC24" i="49"/>
  <c r="W59" i="13"/>
  <c r="W20" i="49" s="1"/>
  <c r="W21" i="49" s="1"/>
  <c r="W10" i="49" s="1"/>
  <c r="AR55" i="45"/>
  <c r="AR54" i="45"/>
  <c r="AR53" i="45"/>
  <c r="T50" i="13"/>
  <c r="AR8" i="45"/>
  <c r="Q15" i="25"/>
  <c r="V71" i="46"/>
  <c r="V31" i="13" s="1"/>
  <c r="U56" i="13"/>
  <c r="S27" i="13"/>
  <c r="S57" i="13"/>
  <c r="S29" i="49" s="1"/>
  <c r="S30" i="49" s="1"/>
  <c r="Z33" i="13"/>
  <c r="Z34" i="13"/>
  <c r="Y60" i="13"/>
  <c r="Y61" i="13"/>
  <c r="U35" i="13"/>
  <c r="U36" i="13" s="1"/>
  <c r="T12" i="25" s="1"/>
  <c r="W69" i="46"/>
  <c r="W95" i="46" s="1"/>
  <c r="W73" i="46"/>
  <c r="W99" i="46" s="1"/>
  <c r="W70" i="46"/>
  <c r="W96" i="46" s="1"/>
  <c r="W74" i="46"/>
  <c r="W100" i="46" s="1"/>
  <c r="W63" i="46"/>
  <c r="W89" i="46" s="1"/>
  <c r="W61" i="46"/>
  <c r="W87" i="46" s="1"/>
  <c r="W67" i="46"/>
  <c r="W93" i="46" s="1"/>
  <c r="V86" i="46"/>
  <c r="V9" i="13" s="1"/>
  <c r="W64" i="46"/>
  <c r="W90" i="46" s="1"/>
  <c r="W65" i="46"/>
  <c r="W91" i="46" s="1"/>
  <c r="W68" i="46"/>
  <c r="W94" i="46" s="1"/>
  <c r="W62" i="46"/>
  <c r="W88" i="46" s="1"/>
  <c r="W66" i="46"/>
  <c r="W92" i="46" s="1"/>
  <c r="Z29" i="46"/>
  <c r="Z28" i="46"/>
  <c r="Z25" i="46"/>
  <c r="Z26" i="46"/>
  <c r="Z27" i="46"/>
  <c r="Z30" i="46"/>
  <c r="Z31" i="46"/>
  <c r="Z22" i="46"/>
  <c r="Z10" i="46"/>
  <c r="Z21" i="46"/>
  <c r="Z12" i="46"/>
  <c r="Z14" i="46"/>
  <c r="Z17" i="46"/>
  <c r="Z11" i="46"/>
  <c r="Z15" i="46"/>
  <c r="Z13" i="46"/>
  <c r="Z16" i="46"/>
  <c r="Z23" i="46"/>
  <c r="Z18" i="46"/>
  <c r="Z19" i="46"/>
  <c r="V60" i="46"/>
  <c r="V8" i="13" s="1"/>
  <c r="Y9" i="46"/>
  <c r="V101" i="46"/>
  <c r="AR37" i="45"/>
  <c r="AR49" i="45"/>
  <c r="AR45" i="45"/>
  <c r="AR44" i="45"/>
  <c r="AR38" i="45"/>
  <c r="AR50" i="45"/>
  <c r="AR51" i="45"/>
  <c r="AR41" i="45"/>
  <c r="AR40" i="45"/>
  <c r="AR42" i="45"/>
  <c r="AR36" i="45"/>
  <c r="AR52" i="45"/>
  <c r="AR39" i="45"/>
  <c r="AR47" i="45"/>
  <c r="AR48" i="45"/>
  <c r="V97" i="46"/>
  <c r="V32" i="13" s="1"/>
  <c r="W81" i="46"/>
  <c r="W107" i="46" s="1"/>
  <c r="W80" i="46"/>
  <c r="W106" i="46" s="1"/>
  <c r="V75" i="46"/>
  <c r="V39" i="13" s="1"/>
  <c r="W78" i="46"/>
  <c r="W104" i="46" s="1"/>
  <c r="W76" i="46"/>
  <c r="W102" i="46" s="1"/>
  <c r="W82" i="46"/>
  <c r="W108" i="46" s="1"/>
  <c r="W77" i="46"/>
  <c r="W103" i="46" s="1"/>
  <c r="W79" i="46"/>
  <c r="W105" i="46" s="1"/>
  <c r="X49" i="46"/>
  <c r="Y24" i="46"/>
  <c r="AS58" i="45"/>
  <c r="AS59" i="45"/>
  <c r="BK5" i="29"/>
  <c r="Z13" i="20"/>
  <c r="V14" i="20"/>
  <c r="T29" i="49"/>
  <c r="T28" i="13"/>
  <c r="S10" i="25" s="1"/>
  <c r="S11" i="25" s="1"/>
  <c r="W98" i="46"/>
  <c r="U27" i="13"/>
  <c r="Y20" i="46"/>
  <c r="R13" i="19"/>
  <c r="W13" i="49"/>
  <c r="W18" i="48" s="1"/>
  <c r="T9" i="49"/>
  <c r="V18" i="48"/>
  <c r="E17" i="29"/>
  <c r="E21" i="29" s="1"/>
  <c r="C17" i="48"/>
  <c r="V9" i="25"/>
  <c r="U22" i="25"/>
  <c r="V26" i="13"/>
  <c r="V63" i="13" s="1"/>
  <c r="AD22" i="20"/>
  <c r="X51" i="46"/>
  <c r="X53" i="46"/>
  <c r="X55" i="46"/>
  <c r="X52" i="46"/>
  <c r="X54" i="46"/>
  <c r="X57" i="46"/>
  <c r="X56" i="46"/>
  <c r="X40" i="46"/>
  <c r="X42" i="46"/>
  <c r="X41" i="46"/>
  <c r="X44" i="46"/>
  <c r="X43" i="46"/>
  <c r="X45" i="46"/>
  <c r="Y14" i="33"/>
  <c r="Y20" i="33" s="1"/>
  <c r="Y26" i="33" s="1"/>
  <c r="Y2" i="33"/>
  <c r="Y1" i="33"/>
  <c r="Z3" i="33"/>
  <c r="Z13" i="33" s="1"/>
  <c r="Y15" i="33"/>
  <c r="X4" i="33"/>
  <c r="W22" i="33"/>
  <c r="W25" i="33"/>
  <c r="W28" i="33" s="1"/>
  <c r="W12" i="48" s="1"/>
  <c r="X16" i="33"/>
  <c r="X13" i="48" s="1"/>
  <c r="X19" i="33"/>
  <c r="T109" i="46"/>
  <c r="X36" i="46"/>
  <c r="X38" i="46"/>
  <c r="X37" i="46"/>
  <c r="X39" i="46"/>
  <c r="U9" i="29"/>
  <c r="U19" i="29" s="1"/>
  <c r="U83" i="46"/>
  <c r="P13" i="19"/>
  <c r="Z3" i="11"/>
  <c r="Y1" i="11"/>
  <c r="Y2" i="11"/>
  <c r="X4" i="11"/>
  <c r="AF2" i="20"/>
  <c r="AE4" i="20"/>
  <c r="AE21" i="20" s="1"/>
  <c r="AG3" i="20"/>
  <c r="AF1" i="20"/>
  <c r="C14" i="19"/>
  <c r="U109" i="46"/>
  <c r="Y2" i="19"/>
  <c r="Z3" i="19"/>
  <c r="X4" i="19"/>
  <c r="Y1" i="19"/>
  <c r="Y112" i="46"/>
  <c r="Y113" i="46"/>
  <c r="Z2" i="13"/>
  <c r="AA3" i="13"/>
  <c r="Z1" i="13"/>
  <c r="Y4" i="13"/>
  <c r="X2" i="25"/>
  <c r="Y3" i="25"/>
  <c r="W4" i="25"/>
  <c r="X1" i="25"/>
  <c r="X47" i="46"/>
  <c r="X72" i="46" s="1"/>
  <c r="X48" i="46"/>
  <c r="Z2" i="46"/>
  <c r="AA3" i="46"/>
  <c r="Y4" i="46"/>
  <c r="Z1" i="46"/>
  <c r="X32" i="46"/>
  <c r="Z2" i="10"/>
  <c r="Y4" i="10"/>
  <c r="AA3" i="10"/>
  <c r="Z1" i="10"/>
  <c r="AT2" i="45"/>
  <c r="AU3" i="45"/>
  <c r="AS4" i="45"/>
  <c r="AT1" i="45"/>
  <c r="U12" i="19"/>
  <c r="AS21" i="45"/>
  <c r="AS20" i="45"/>
  <c r="X4" i="24"/>
  <c r="Y1" i="24"/>
  <c r="Y2" i="24"/>
  <c r="Z3" i="24"/>
  <c r="AB3" i="29"/>
  <c r="AA2" i="29"/>
  <c r="AA1" i="29"/>
  <c r="Z4" i="29"/>
  <c r="X58" i="13" l="1"/>
  <c r="X19" i="49" s="1"/>
  <c r="AA23" i="13"/>
  <c r="AA21" i="13"/>
  <c r="AA24" i="13"/>
  <c r="AA22" i="13"/>
  <c r="AA20" i="13"/>
  <c r="AA25" i="13"/>
  <c r="Y17" i="13"/>
  <c r="Y16" i="11"/>
  <c r="Y18" i="13"/>
  <c r="Y17" i="11"/>
  <c r="Y12" i="13"/>
  <c r="Y11" i="11"/>
  <c r="Y15" i="13"/>
  <c r="Y14" i="11"/>
  <c r="Y13" i="13"/>
  <c r="Y12" i="11"/>
  <c r="Y10" i="13"/>
  <c r="Y9" i="11"/>
  <c r="AS25" i="45"/>
  <c r="AS26" i="45"/>
  <c r="AS31" i="45"/>
  <c r="AS34" i="45"/>
  <c r="AS32" i="45"/>
  <c r="AS33" i="45"/>
  <c r="AS28" i="45"/>
  <c r="AS29" i="45"/>
  <c r="AS27" i="45"/>
  <c r="AS30" i="45"/>
  <c r="Y19" i="13"/>
  <c r="Y18" i="11"/>
  <c r="Y16" i="13"/>
  <c r="Y15" i="11"/>
  <c r="AA9" i="10"/>
  <c r="AA12" i="10"/>
  <c r="AA15" i="10"/>
  <c r="AA8" i="10"/>
  <c r="AA11" i="10"/>
  <c r="AA14" i="10"/>
  <c r="AA17" i="10"/>
  <c r="AA13" i="10"/>
  <c r="AA10" i="10"/>
  <c r="AA16" i="10"/>
  <c r="Y11" i="13"/>
  <c r="Y10" i="11"/>
  <c r="Y14" i="13"/>
  <c r="Y13" i="11"/>
  <c r="AS11" i="45"/>
  <c r="AS12" i="45"/>
  <c r="AS17" i="45"/>
  <c r="AS16" i="45"/>
  <c r="AS15" i="45"/>
  <c r="AS10" i="45"/>
  <c r="AS13" i="45"/>
  <c r="AS14" i="45"/>
  <c r="AS9" i="45"/>
  <c r="Y21" i="33"/>
  <c r="Y27" i="33" s="1"/>
  <c r="AA48" i="13"/>
  <c r="AA43" i="13"/>
  <c r="AA46" i="13"/>
  <c r="AA45" i="13"/>
  <c r="AA49" i="13"/>
  <c r="AA42" i="13"/>
  <c r="AA47" i="13"/>
  <c r="AA41" i="13"/>
  <c r="AA44" i="13"/>
  <c r="X22" i="33"/>
  <c r="X26" i="13" s="1"/>
  <c r="X63" i="13" s="1"/>
  <c r="X24" i="49"/>
  <c r="X59" i="13"/>
  <c r="X20" i="49" s="1"/>
  <c r="X21" i="49" s="1"/>
  <c r="X10" i="49" s="1"/>
  <c r="X19" i="11"/>
  <c r="Z8" i="29" s="1"/>
  <c r="BD24" i="49"/>
  <c r="AS54" i="45"/>
  <c r="AS55" i="45"/>
  <c r="AS53" i="45"/>
  <c r="V35" i="13"/>
  <c r="V36" i="13" s="1"/>
  <c r="U12" i="25" s="1"/>
  <c r="AS8" i="45"/>
  <c r="Z61" i="13"/>
  <c r="AA33" i="13"/>
  <c r="AA34" i="13"/>
  <c r="T62" i="13"/>
  <c r="T64" i="13" s="1"/>
  <c r="U13" i="29" s="1"/>
  <c r="Z60" i="13"/>
  <c r="V56" i="13"/>
  <c r="S28" i="13"/>
  <c r="R10" i="25" s="1"/>
  <c r="R11" i="25" s="1"/>
  <c r="S62" i="13"/>
  <c r="W71" i="46"/>
  <c r="W31" i="13" s="1"/>
  <c r="X70" i="46"/>
  <c r="X96" i="46" s="1"/>
  <c r="X68" i="46"/>
  <c r="X94" i="46" s="1"/>
  <c r="X74" i="46"/>
  <c r="X100" i="46" s="1"/>
  <c r="X62" i="46"/>
  <c r="X88" i="46" s="1"/>
  <c r="X61" i="46"/>
  <c r="X87" i="46" s="1"/>
  <c r="X67" i="46"/>
  <c r="X93" i="46" s="1"/>
  <c r="X69" i="46"/>
  <c r="X95" i="46" s="1"/>
  <c r="X66" i="46"/>
  <c r="X92" i="46" s="1"/>
  <c r="X65" i="46"/>
  <c r="X91" i="46" s="1"/>
  <c r="X64" i="46"/>
  <c r="X90" i="46" s="1"/>
  <c r="X63" i="46"/>
  <c r="X89" i="46" s="1"/>
  <c r="X73" i="46"/>
  <c r="X99" i="46" s="1"/>
  <c r="AA30" i="46"/>
  <c r="AA29" i="46"/>
  <c r="AA26" i="46"/>
  <c r="AA27" i="46"/>
  <c r="AA31" i="46"/>
  <c r="AA28" i="46"/>
  <c r="AA25" i="46"/>
  <c r="AA21" i="46"/>
  <c r="AA18" i="46"/>
  <c r="AA12" i="46"/>
  <c r="AA10" i="46"/>
  <c r="AA19" i="46"/>
  <c r="AA11" i="46"/>
  <c r="AA14" i="46"/>
  <c r="AA15" i="46"/>
  <c r="AA13" i="46"/>
  <c r="AA22" i="46"/>
  <c r="AA16" i="46"/>
  <c r="AA23" i="46"/>
  <c r="AA17" i="46"/>
  <c r="W86" i="46"/>
  <c r="W60" i="46"/>
  <c r="W8" i="13" s="1"/>
  <c r="Z9" i="46"/>
  <c r="AS37" i="45"/>
  <c r="AS49" i="45"/>
  <c r="AS45" i="45"/>
  <c r="AS36" i="45"/>
  <c r="AS40" i="45"/>
  <c r="AS48" i="45"/>
  <c r="AS52" i="45"/>
  <c r="AS38" i="45"/>
  <c r="AS51" i="45"/>
  <c r="AS39" i="45"/>
  <c r="AS44" i="45"/>
  <c r="AS42" i="45"/>
  <c r="AS50" i="45"/>
  <c r="AS41" i="45"/>
  <c r="AS47" i="45"/>
  <c r="W101" i="46"/>
  <c r="W97" i="46"/>
  <c r="W32" i="13" s="1"/>
  <c r="X82" i="46"/>
  <c r="X108" i="46" s="1"/>
  <c r="W75" i="46"/>
  <c r="W39" i="13" s="1"/>
  <c r="X79" i="46"/>
  <c r="X105" i="46" s="1"/>
  <c r="X77" i="46"/>
  <c r="X103" i="46" s="1"/>
  <c r="X78" i="46"/>
  <c r="X104" i="46" s="1"/>
  <c r="X80" i="46"/>
  <c r="X106" i="46" s="1"/>
  <c r="X81" i="46"/>
  <c r="X107" i="46" s="1"/>
  <c r="X76" i="46"/>
  <c r="X102" i="46" s="1"/>
  <c r="Y49" i="46"/>
  <c r="Z24" i="46"/>
  <c r="AT58" i="45"/>
  <c r="AT59" i="45"/>
  <c r="Y14" i="20"/>
  <c r="S51" i="13"/>
  <c r="U28" i="13"/>
  <c r="T10" i="25" s="1"/>
  <c r="T11" i="25" s="1"/>
  <c r="X98" i="46"/>
  <c r="V27" i="13"/>
  <c r="W10" i="48"/>
  <c r="Z20" i="46"/>
  <c r="T30" i="49"/>
  <c r="E20" i="29"/>
  <c r="D17" i="48" s="1"/>
  <c r="X13" i="49"/>
  <c r="W11" i="49"/>
  <c r="T16" i="48"/>
  <c r="T51" i="13"/>
  <c r="V22" i="25"/>
  <c r="W26" i="13"/>
  <c r="W63" i="13" s="1"/>
  <c r="W9" i="25"/>
  <c r="AE22" i="20"/>
  <c r="Y52" i="46"/>
  <c r="Y54" i="46"/>
  <c r="Y51" i="46"/>
  <c r="Y53" i="46"/>
  <c r="Y56" i="46"/>
  <c r="Y55" i="46"/>
  <c r="Y57" i="46"/>
  <c r="Y41" i="46"/>
  <c r="Y40" i="46"/>
  <c r="Y42" i="46"/>
  <c r="Y43" i="46"/>
  <c r="Y45" i="46"/>
  <c r="Y44" i="46"/>
  <c r="V83" i="46"/>
  <c r="W9" i="29"/>
  <c r="X25" i="33"/>
  <c r="X28" i="33" s="1"/>
  <c r="X12" i="48" s="1"/>
  <c r="X10" i="48" s="1"/>
  <c r="Y16" i="33"/>
  <c r="Y13" i="48" s="1"/>
  <c r="Y19" i="33"/>
  <c r="AA3" i="33"/>
  <c r="AA13" i="33" s="1"/>
  <c r="Z2" i="33"/>
  <c r="Z1" i="33"/>
  <c r="Y4" i="33"/>
  <c r="Z15" i="33"/>
  <c r="Z14" i="33"/>
  <c r="Z20" i="33" s="1"/>
  <c r="Z26" i="33" s="1"/>
  <c r="U40" i="13"/>
  <c r="T12" i="19"/>
  <c r="Y37" i="46"/>
  <c r="Y39" i="46"/>
  <c r="Y36" i="46"/>
  <c r="Y38" i="46"/>
  <c r="W14" i="20"/>
  <c r="AB13" i="20"/>
  <c r="AA3" i="11"/>
  <c r="Z2" i="11"/>
  <c r="Z1" i="11"/>
  <c r="Y4" i="11"/>
  <c r="J15" i="20"/>
  <c r="AF4" i="20"/>
  <c r="AF21" i="20" s="1"/>
  <c r="AG1" i="20"/>
  <c r="AG2" i="20"/>
  <c r="AH3" i="20"/>
  <c r="Z2" i="19"/>
  <c r="AA3" i="19"/>
  <c r="Z1" i="19"/>
  <c r="Y4" i="19"/>
  <c r="AA2" i="46"/>
  <c r="AB3" i="46"/>
  <c r="AA1" i="46"/>
  <c r="Z4" i="46"/>
  <c r="Z112" i="46"/>
  <c r="Z113" i="46"/>
  <c r="Y2" i="25"/>
  <c r="Z3" i="25"/>
  <c r="Y1" i="25"/>
  <c r="X4" i="25"/>
  <c r="AA2" i="13"/>
  <c r="AB3" i="13"/>
  <c r="AA1" i="13"/>
  <c r="Z4" i="13"/>
  <c r="Y32" i="46"/>
  <c r="Y47" i="46"/>
  <c r="Y72" i="46" s="1"/>
  <c r="Y48" i="46"/>
  <c r="Y4" i="24"/>
  <c r="Z1" i="24"/>
  <c r="Z2" i="24"/>
  <c r="AA3" i="24"/>
  <c r="AT21" i="45"/>
  <c r="AT20" i="45"/>
  <c r="AA2" i="10"/>
  <c r="Z4" i="10"/>
  <c r="AB3" i="10"/>
  <c r="AA1" i="10"/>
  <c r="AC3" i="29"/>
  <c r="AB2" i="29"/>
  <c r="AB1" i="29"/>
  <c r="AA4" i="29"/>
  <c r="AU2" i="45"/>
  <c r="AV3" i="45"/>
  <c r="AT4" i="45"/>
  <c r="AU1" i="45"/>
  <c r="AB23" i="13" l="1"/>
  <c r="AB21" i="13"/>
  <c r="AB24" i="13"/>
  <c r="AB22" i="13"/>
  <c r="AB25" i="13"/>
  <c r="AB20" i="13"/>
  <c r="Y58" i="13"/>
  <c r="Y19" i="49" s="1"/>
  <c r="AT27" i="45"/>
  <c r="AT34" i="45"/>
  <c r="AT26" i="45"/>
  <c r="AT31" i="45"/>
  <c r="AT25" i="45"/>
  <c r="AT29" i="45"/>
  <c r="AT33" i="45"/>
  <c r="AT32" i="45"/>
  <c r="AT28" i="45"/>
  <c r="AT30" i="45"/>
  <c r="Z12" i="13"/>
  <c r="Z11" i="11"/>
  <c r="Z19" i="13"/>
  <c r="Z18" i="11"/>
  <c r="Z16" i="13"/>
  <c r="Z15" i="11"/>
  <c r="Z18" i="13"/>
  <c r="Z17" i="11"/>
  <c r="Z13" i="13"/>
  <c r="Z12" i="11"/>
  <c r="Z10" i="13"/>
  <c r="Z9" i="11"/>
  <c r="Z17" i="13"/>
  <c r="Z16" i="11"/>
  <c r="AB16" i="10"/>
  <c r="AB9" i="10"/>
  <c r="AB12" i="10"/>
  <c r="AB15" i="10"/>
  <c r="AB13" i="10"/>
  <c r="AB10" i="10"/>
  <c r="AB17" i="10"/>
  <c r="AB8" i="10"/>
  <c r="AB11" i="10"/>
  <c r="AB14" i="10"/>
  <c r="Z15" i="13"/>
  <c r="Z14" i="11"/>
  <c r="Z14" i="13"/>
  <c r="Z13" i="11"/>
  <c r="Z11" i="13"/>
  <c r="Z10" i="11"/>
  <c r="AT14" i="45"/>
  <c r="AT12" i="45"/>
  <c r="AT13" i="45"/>
  <c r="AT10" i="45"/>
  <c r="AT17" i="45"/>
  <c r="AT15" i="45"/>
  <c r="AT11" i="45"/>
  <c r="AT16" i="45"/>
  <c r="AT9" i="45"/>
  <c r="Z21" i="33"/>
  <c r="Z27" i="33" s="1"/>
  <c r="W22" i="25"/>
  <c r="AB45" i="13"/>
  <c r="AB48" i="13"/>
  <c r="AB43" i="13"/>
  <c r="AB49" i="13"/>
  <c r="AB44" i="13"/>
  <c r="AB46" i="13"/>
  <c r="AB47" i="13"/>
  <c r="AB41" i="13"/>
  <c r="AB42" i="13"/>
  <c r="Y24" i="49"/>
  <c r="Y59" i="13"/>
  <c r="Y20" i="49" s="1"/>
  <c r="Y19" i="11"/>
  <c r="AA8" i="29" s="1"/>
  <c r="BE24" i="49"/>
  <c r="U57" i="13"/>
  <c r="U29" i="49" s="1"/>
  <c r="U30" i="49" s="1"/>
  <c r="U50" i="13"/>
  <c r="U62" i="13" s="1"/>
  <c r="AT54" i="45"/>
  <c r="AT55" i="45"/>
  <c r="AT53" i="45"/>
  <c r="AT8" i="45"/>
  <c r="AA61" i="13"/>
  <c r="AA60" i="13"/>
  <c r="AB33" i="13"/>
  <c r="AB34" i="13"/>
  <c r="W56" i="13"/>
  <c r="W35" i="13"/>
  <c r="W36" i="13" s="1"/>
  <c r="V12" i="25" s="1"/>
  <c r="X71" i="46"/>
  <c r="X31" i="13" s="1"/>
  <c r="X60" i="46"/>
  <c r="X8" i="13" s="1"/>
  <c r="Y69" i="46"/>
  <c r="Y95" i="46" s="1"/>
  <c r="Y74" i="46"/>
  <c r="Y100" i="46" s="1"/>
  <c r="Y63" i="46"/>
  <c r="Y89" i="46" s="1"/>
  <c r="Y61" i="46"/>
  <c r="Y87" i="46" s="1"/>
  <c r="Y64" i="46"/>
  <c r="Y90" i="46" s="1"/>
  <c r="Y70" i="46"/>
  <c r="Y96" i="46" s="1"/>
  <c r="Y65" i="46"/>
  <c r="Y91" i="46" s="1"/>
  <c r="Y73" i="46"/>
  <c r="Y99" i="46" s="1"/>
  <c r="Y62" i="46"/>
  <c r="Y88" i="46" s="1"/>
  <c r="Y68" i="46"/>
  <c r="Y94" i="46" s="1"/>
  <c r="Y67" i="46"/>
  <c r="Y93" i="46" s="1"/>
  <c r="Y66" i="46"/>
  <c r="Y92" i="46" s="1"/>
  <c r="AB30" i="46"/>
  <c r="AB27" i="46"/>
  <c r="AB29" i="46"/>
  <c r="AB31" i="46"/>
  <c r="AB25" i="46"/>
  <c r="AB26" i="46"/>
  <c r="AB28" i="46"/>
  <c r="AB23" i="46"/>
  <c r="AB11" i="46"/>
  <c r="AB22" i="46"/>
  <c r="AB10" i="46"/>
  <c r="AB21" i="46"/>
  <c r="AB19" i="46"/>
  <c r="AB12" i="46"/>
  <c r="AB14" i="46"/>
  <c r="AB15" i="46"/>
  <c r="AB13" i="46"/>
  <c r="AB16" i="46"/>
  <c r="AB18" i="46"/>
  <c r="AB17" i="46"/>
  <c r="X86" i="46"/>
  <c r="X9" i="13" s="1"/>
  <c r="AA9" i="46"/>
  <c r="AT37" i="45"/>
  <c r="AT49" i="45"/>
  <c r="AT44" i="45"/>
  <c r="AT36" i="45"/>
  <c r="AT39" i="45"/>
  <c r="AT52" i="45"/>
  <c r="AT51" i="45"/>
  <c r="AT38" i="45"/>
  <c r="AT42" i="45"/>
  <c r="AT45" i="45"/>
  <c r="AT41" i="45"/>
  <c r="AT48" i="45"/>
  <c r="AT47" i="45"/>
  <c r="AT50" i="45"/>
  <c r="AT40" i="45"/>
  <c r="X101" i="46"/>
  <c r="X97" i="46"/>
  <c r="X32" i="13" s="1"/>
  <c r="X75" i="46"/>
  <c r="X39" i="13" s="1"/>
  <c r="Y81" i="46"/>
  <c r="Y107" i="46" s="1"/>
  <c r="Y78" i="46"/>
  <c r="Y104" i="46" s="1"/>
  <c r="Y76" i="46"/>
  <c r="Y102" i="46" s="1"/>
  <c r="Y79" i="46"/>
  <c r="Y105" i="46" s="1"/>
  <c r="Y77" i="46"/>
  <c r="Y103" i="46" s="1"/>
  <c r="Y82" i="46"/>
  <c r="Y108" i="46" s="1"/>
  <c r="Y80" i="46"/>
  <c r="Y106" i="46" s="1"/>
  <c r="Z49" i="46"/>
  <c r="AA24" i="46"/>
  <c r="AU58" i="45"/>
  <c r="AU59" i="45"/>
  <c r="S64" i="13"/>
  <c r="T13" i="29" s="1"/>
  <c r="R13" i="25"/>
  <c r="R14" i="25" s="1"/>
  <c r="R17" i="25" s="1"/>
  <c r="R23" i="25" s="1"/>
  <c r="S53" i="13"/>
  <c r="V28" i="13"/>
  <c r="U10" i="25" s="1"/>
  <c r="U11" i="25" s="1"/>
  <c r="W9" i="13"/>
  <c r="Y98" i="46"/>
  <c r="AA20" i="46"/>
  <c r="F17" i="29"/>
  <c r="F20" i="29" s="1"/>
  <c r="E17" i="48" s="1"/>
  <c r="X26" i="49"/>
  <c r="Y13" i="49"/>
  <c r="W9" i="49"/>
  <c r="X18" i="48"/>
  <c r="S13" i="25"/>
  <c r="S14" i="25" s="1"/>
  <c r="T53" i="13"/>
  <c r="V12" i="19"/>
  <c r="W19" i="29"/>
  <c r="X9" i="25"/>
  <c r="AF22" i="20"/>
  <c r="Z51" i="46"/>
  <c r="Z53" i="46"/>
  <c r="Z55" i="46"/>
  <c r="Z52" i="46"/>
  <c r="Z54" i="46"/>
  <c r="Z57" i="46"/>
  <c r="Z56" i="46"/>
  <c r="Z40" i="46"/>
  <c r="Z42" i="46"/>
  <c r="Z41" i="46"/>
  <c r="Z44" i="46"/>
  <c r="Z43" i="46"/>
  <c r="Z45" i="46"/>
  <c r="W83" i="46"/>
  <c r="Z19" i="33"/>
  <c r="Z16" i="33"/>
  <c r="Z13" i="48" s="1"/>
  <c r="BM13" i="48" s="1"/>
  <c r="AB3" i="33"/>
  <c r="AB13" i="33" s="1"/>
  <c r="AA15" i="33"/>
  <c r="Z4" i="33"/>
  <c r="AA14" i="33"/>
  <c r="AA20" i="33" s="1"/>
  <c r="AA26" i="33" s="1"/>
  <c r="AA2" i="33"/>
  <c r="AA1" i="33"/>
  <c r="Y22" i="33"/>
  <c r="Y25" i="33"/>
  <c r="Y28" i="33" s="1"/>
  <c r="Y12" i="48" s="1"/>
  <c r="Y10" i="48" s="1"/>
  <c r="Y9" i="29"/>
  <c r="Y19" i="29" s="1"/>
  <c r="X9" i="29"/>
  <c r="X19" i="29" s="1"/>
  <c r="AA13" i="20"/>
  <c r="Z36" i="46"/>
  <c r="Z38" i="46"/>
  <c r="Z37" i="46"/>
  <c r="Z39" i="46"/>
  <c r="D14" i="19"/>
  <c r="AB3" i="11"/>
  <c r="AA1" i="11"/>
  <c r="AA2" i="11"/>
  <c r="Z4" i="11"/>
  <c r="AI3" i="20"/>
  <c r="AH1" i="20"/>
  <c r="AH2" i="20"/>
  <c r="AG4" i="20"/>
  <c r="AG21" i="20" s="1"/>
  <c r="AA2" i="19"/>
  <c r="AB3" i="19"/>
  <c r="Z4" i="19"/>
  <c r="AA1" i="19"/>
  <c r="AB2" i="13"/>
  <c r="AC3" i="13"/>
  <c r="AB1" i="13"/>
  <c r="AA4" i="13"/>
  <c r="Z2" i="25"/>
  <c r="AA3" i="25"/>
  <c r="Y4" i="25"/>
  <c r="Z1" i="25"/>
  <c r="Z47" i="46"/>
  <c r="Z72" i="46" s="1"/>
  <c r="Z48" i="46"/>
  <c r="AB2" i="46"/>
  <c r="AC3" i="46"/>
  <c r="AA4" i="46"/>
  <c r="AB1" i="46"/>
  <c r="Z32" i="46"/>
  <c r="V40" i="13"/>
  <c r="V50" i="13" s="1"/>
  <c r="V109" i="46"/>
  <c r="AA113" i="46"/>
  <c r="AA112" i="46"/>
  <c r="AV2" i="45"/>
  <c r="AW3" i="45"/>
  <c r="AU4" i="45"/>
  <c r="AV1" i="45"/>
  <c r="AB2" i="10"/>
  <c r="AA4" i="10"/>
  <c r="AC3" i="10"/>
  <c r="AB1" i="10"/>
  <c r="Z4" i="24"/>
  <c r="AA1" i="24"/>
  <c r="AA2" i="24"/>
  <c r="AB3" i="24"/>
  <c r="AU21" i="45"/>
  <c r="AU20" i="45"/>
  <c r="AD3" i="29"/>
  <c r="AC2" i="29"/>
  <c r="AB4" i="29"/>
  <c r="AC1" i="29"/>
  <c r="Y21" i="49" l="1"/>
  <c r="Y10" i="49" s="1"/>
  <c r="Z58" i="13"/>
  <c r="Z19" i="49" s="1"/>
  <c r="AC20" i="13"/>
  <c r="AC22" i="13"/>
  <c r="AC24" i="13"/>
  <c r="AC23" i="13"/>
  <c r="AC21" i="13"/>
  <c r="AC25" i="13"/>
  <c r="S17" i="25"/>
  <c r="S23" i="25" s="1"/>
  <c r="AU31" i="45"/>
  <c r="AU27" i="45"/>
  <c r="AU34" i="45"/>
  <c r="AU25" i="45"/>
  <c r="AU26" i="45"/>
  <c r="AU29" i="45"/>
  <c r="AU28" i="45"/>
  <c r="AU33" i="45"/>
  <c r="AU32" i="45"/>
  <c r="AU30" i="45"/>
  <c r="AA12" i="13"/>
  <c r="AA11" i="11"/>
  <c r="AA13" i="13"/>
  <c r="AA12" i="11"/>
  <c r="AA15" i="13"/>
  <c r="AA14" i="11"/>
  <c r="AA17" i="13"/>
  <c r="AA16" i="11"/>
  <c r="AA10" i="13"/>
  <c r="AA9" i="11"/>
  <c r="AC13" i="10"/>
  <c r="AC16" i="10"/>
  <c r="AC10" i="10"/>
  <c r="AC15" i="10"/>
  <c r="AC12" i="10"/>
  <c r="AC17" i="10"/>
  <c r="AC8" i="10"/>
  <c r="AC11" i="10"/>
  <c r="AC9" i="10"/>
  <c r="AC14" i="10"/>
  <c r="AA11" i="13"/>
  <c r="AA10" i="11"/>
  <c r="AA16" i="13"/>
  <c r="AA15" i="11"/>
  <c r="AA19" i="13"/>
  <c r="AA18" i="11"/>
  <c r="AA14" i="13"/>
  <c r="AA13" i="11"/>
  <c r="AA18" i="13"/>
  <c r="AA17" i="11"/>
  <c r="AU10" i="45"/>
  <c r="AU14" i="45"/>
  <c r="AU12" i="45"/>
  <c r="AU17" i="45"/>
  <c r="AU15" i="45"/>
  <c r="AU16" i="45"/>
  <c r="AU13" i="45"/>
  <c r="AU11" i="45"/>
  <c r="AU9" i="45"/>
  <c r="AA21" i="33"/>
  <c r="AA27" i="33" s="1"/>
  <c r="AC42" i="13"/>
  <c r="AC45" i="13"/>
  <c r="AC48" i="13"/>
  <c r="AC41" i="13"/>
  <c r="AC46" i="13"/>
  <c r="AC43" i="13"/>
  <c r="AC47" i="13"/>
  <c r="AC49" i="13"/>
  <c r="AC44" i="13"/>
  <c r="Z24" i="49"/>
  <c r="Z26" i="49" s="1"/>
  <c r="Z11" i="49" s="1"/>
  <c r="Z19" i="11"/>
  <c r="AB8" i="29" s="1"/>
  <c r="BF24" i="49"/>
  <c r="Z59" i="13"/>
  <c r="Z20" i="49" s="1"/>
  <c r="Z21" i="49" s="1"/>
  <c r="Z10" i="49" s="1"/>
  <c r="AU55" i="45"/>
  <c r="AU54" i="45"/>
  <c r="AU53" i="45"/>
  <c r="X35" i="13"/>
  <c r="X36" i="13" s="1"/>
  <c r="W12" i="25" s="1"/>
  <c r="AU8" i="45"/>
  <c r="R15" i="25"/>
  <c r="AB61" i="13"/>
  <c r="X56" i="13"/>
  <c r="AB60" i="13"/>
  <c r="AC34" i="13"/>
  <c r="AC33" i="13"/>
  <c r="V57" i="13"/>
  <c r="V29" i="49" s="1"/>
  <c r="V30" i="49" s="1"/>
  <c r="Y71" i="46"/>
  <c r="Y31" i="13" s="1"/>
  <c r="Y60" i="46"/>
  <c r="Y8" i="13" s="1"/>
  <c r="Z73" i="46"/>
  <c r="Z99" i="46" s="1"/>
  <c r="Z63" i="46"/>
  <c r="Z89" i="46" s="1"/>
  <c r="Z70" i="46"/>
  <c r="Z96" i="46" s="1"/>
  <c r="Z74" i="46"/>
  <c r="Z100" i="46" s="1"/>
  <c r="Z69" i="46"/>
  <c r="Z95" i="46" s="1"/>
  <c r="Z64" i="46"/>
  <c r="Z90" i="46" s="1"/>
  <c r="Z62" i="46"/>
  <c r="Z88" i="46" s="1"/>
  <c r="Z61" i="46"/>
  <c r="Z87" i="46" s="1"/>
  <c r="Z68" i="46"/>
  <c r="Z94" i="46" s="1"/>
  <c r="Z67" i="46"/>
  <c r="Z93" i="46" s="1"/>
  <c r="Z66" i="46"/>
  <c r="Z92" i="46" s="1"/>
  <c r="Z65" i="46"/>
  <c r="Z91" i="46" s="1"/>
  <c r="AC28" i="46"/>
  <c r="AC25" i="46"/>
  <c r="AC30" i="46"/>
  <c r="AC27" i="46"/>
  <c r="AC29" i="46"/>
  <c r="AC26" i="46"/>
  <c r="AC31" i="46"/>
  <c r="AC15" i="46"/>
  <c r="AC22" i="46"/>
  <c r="AC10" i="46"/>
  <c r="AC21" i="46"/>
  <c r="AC23" i="46"/>
  <c r="AC16" i="46"/>
  <c r="AC18" i="46"/>
  <c r="AC12" i="46"/>
  <c r="AC19" i="46"/>
  <c r="AC11" i="46"/>
  <c r="AC14" i="46"/>
  <c r="AC13" i="46"/>
  <c r="AC17" i="46"/>
  <c r="Y86" i="46"/>
  <c r="Y9" i="13" s="1"/>
  <c r="AB9" i="46"/>
  <c r="AU52" i="45"/>
  <c r="AU38" i="45"/>
  <c r="AU51" i="45"/>
  <c r="AU50" i="45"/>
  <c r="AU49" i="45"/>
  <c r="AU44" i="45"/>
  <c r="AU40" i="45"/>
  <c r="AU39" i="45"/>
  <c r="AU36" i="45"/>
  <c r="AU45" i="45"/>
  <c r="AU37" i="45"/>
  <c r="AU48" i="45"/>
  <c r="AU42" i="45"/>
  <c r="AU41" i="45"/>
  <c r="AU47" i="45"/>
  <c r="Y101" i="46"/>
  <c r="Y97" i="46"/>
  <c r="Y32" i="13" s="1"/>
  <c r="Y75" i="46"/>
  <c r="Y39" i="13" s="1"/>
  <c r="Z82" i="46"/>
  <c r="Z108" i="46" s="1"/>
  <c r="Z79" i="46"/>
  <c r="Z105" i="46" s="1"/>
  <c r="Z77" i="46"/>
  <c r="Z103" i="46" s="1"/>
  <c r="Z78" i="46"/>
  <c r="Z104" i="46" s="1"/>
  <c r="Z80" i="46"/>
  <c r="Z106" i="46" s="1"/>
  <c r="Z81" i="46"/>
  <c r="Z107" i="46" s="1"/>
  <c r="Z76" i="46"/>
  <c r="Z102" i="46" s="1"/>
  <c r="AA49" i="46"/>
  <c r="AB24" i="46"/>
  <c r="AV58" i="45"/>
  <c r="AV59" i="45"/>
  <c r="Y18" i="48"/>
  <c r="Y26" i="49"/>
  <c r="Y11" i="49" s="1"/>
  <c r="Y9" i="49" s="1"/>
  <c r="Y16" i="48" s="1"/>
  <c r="AC13" i="20"/>
  <c r="T14" i="29"/>
  <c r="T18" i="29" s="1"/>
  <c r="W27" i="13"/>
  <c r="U51" i="13"/>
  <c r="U64" i="13"/>
  <c r="V13" i="29" s="1"/>
  <c r="Z98" i="46"/>
  <c r="X27" i="13"/>
  <c r="AB20" i="46"/>
  <c r="F21" i="29"/>
  <c r="Z13" i="49"/>
  <c r="BM13" i="49" s="1"/>
  <c r="W16" i="48"/>
  <c r="X11" i="49"/>
  <c r="U14" i="29"/>
  <c r="T13" i="19" s="1"/>
  <c r="S15" i="25"/>
  <c r="X22" i="25"/>
  <c r="Y26" i="13"/>
  <c r="Y63" i="13" s="1"/>
  <c r="Y9" i="25"/>
  <c r="AG22" i="20"/>
  <c r="AA52" i="46"/>
  <c r="AA54" i="46"/>
  <c r="AA51" i="46"/>
  <c r="AA53" i="46"/>
  <c r="AA55" i="46"/>
  <c r="AA56" i="46"/>
  <c r="AA57" i="46"/>
  <c r="AA41" i="46"/>
  <c r="AA40" i="46"/>
  <c r="AA42" i="46"/>
  <c r="AA43" i="46"/>
  <c r="AA45" i="46"/>
  <c r="AA44" i="46"/>
  <c r="AA19" i="33"/>
  <c r="AA16" i="33"/>
  <c r="AA13" i="48" s="1"/>
  <c r="AB15" i="33"/>
  <c r="AB14" i="33"/>
  <c r="AB20" i="33" s="1"/>
  <c r="AB26" i="33" s="1"/>
  <c r="AA4" i="33"/>
  <c r="AC3" i="33"/>
  <c r="AC13" i="33" s="1"/>
  <c r="AB2" i="33"/>
  <c r="AB1" i="33"/>
  <c r="Z25" i="33"/>
  <c r="Z28" i="33" s="1"/>
  <c r="Z12" i="48" s="1"/>
  <c r="Z22" i="33"/>
  <c r="W12" i="19"/>
  <c r="AA37" i="46"/>
  <c r="AA39" i="46"/>
  <c r="AA36" i="46"/>
  <c r="AA38" i="46"/>
  <c r="G17" i="29"/>
  <c r="K15" i="20"/>
  <c r="AC3" i="11"/>
  <c r="AB2" i="11"/>
  <c r="AB1" i="11"/>
  <c r="AA4" i="11"/>
  <c r="AI2" i="20"/>
  <c r="AJ3" i="20"/>
  <c r="AH4" i="20"/>
  <c r="AH21" i="20" s="1"/>
  <c r="AI1" i="20"/>
  <c r="AB2" i="19"/>
  <c r="AC3" i="19"/>
  <c r="AB1" i="19"/>
  <c r="AA4" i="19"/>
  <c r="AA32" i="46"/>
  <c r="X83" i="46"/>
  <c r="AA47" i="46"/>
  <c r="AA72" i="46" s="1"/>
  <c r="AA48" i="46"/>
  <c r="W40" i="13"/>
  <c r="W109" i="46"/>
  <c r="AC2" i="46"/>
  <c r="AD3" i="46"/>
  <c r="AB4" i="46"/>
  <c r="AC1" i="46"/>
  <c r="AB112" i="46"/>
  <c r="AB113" i="46"/>
  <c r="AA2" i="25"/>
  <c r="AB3" i="25"/>
  <c r="AA1" i="25"/>
  <c r="Z4" i="25"/>
  <c r="AC2" i="13"/>
  <c r="AD3" i="13"/>
  <c r="AC1" i="13"/>
  <c r="AB4" i="13"/>
  <c r="AA4" i="24"/>
  <c r="AB1" i="24"/>
  <c r="AB2" i="24"/>
  <c r="AC3" i="24"/>
  <c r="AV21" i="45"/>
  <c r="AV20" i="45"/>
  <c r="AE3" i="29"/>
  <c r="AD2" i="29"/>
  <c r="AD1" i="29"/>
  <c r="AC4" i="29"/>
  <c r="AC2" i="10"/>
  <c r="AD3" i="10"/>
  <c r="AB4" i="10"/>
  <c r="AC1" i="10"/>
  <c r="X12" i="19"/>
  <c r="AW2" i="45"/>
  <c r="AX3" i="45"/>
  <c r="AW1" i="45"/>
  <c r="AV4" i="45"/>
  <c r="AA58" i="13" l="1"/>
  <c r="AA19" i="49" s="1"/>
  <c r="AD20" i="13"/>
  <c r="AD22" i="13"/>
  <c r="AD24" i="13"/>
  <c r="AD25" i="13"/>
  <c r="AD23" i="13"/>
  <c r="AD21" i="13"/>
  <c r="AB10" i="13"/>
  <c r="AB9" i="11"/>
  <c r="AB19" i="13"/>
  <c r="AB18" i="11"/>
  <c r="AB14" i="13"/>
  <c r="AB13" i="11"/>
  <c r="AB17" i="13"/>
  <c r="AB16" i="11"/>
  <c r="AB18" i="13"/>
  <c r="AB17" i="11"/>
  <c r="AB12" i="13"/>
  <c r="AB11" i="11"/>
  <c r="AB15" i="13"/>
  <c r="AB14" i="11"/>
  <c r="AB13" i="13"/>
  <c r="AB12" i="11"/>
  <c r="AD10" i="10"/>
  <c r="AD13" i="10"/>
  <c r="AD16" i="10"/>
  <c r="AD8" i="10"/>
  <c r="AD11" i="10"/>
  <c r="AD15" i="10"/>
  <c r="AD9" i="10"/>
  <c r="AD12" i="10"/>
  <c r="AD17" i="10"/>
  <c r="AD14" i="10"/>
  <c r="AB16" i="13"/>
  <c r="AB15" i="11"/>
  <c r="AV26" i="45"/>
  <c r="AV31" i="45"/>
  <c r="AV34" i="45"/>
  <c r="AV30" i="45"/>
  <c r="AV27" i="45"/>
  <c r="AV29" i="45"/>
  <c r="AV32" i="45"/>
  <c r="AV33" i="45"/>
  <c r="AV28" i="45"/>
  <c r="AV25" i="45"/>
  <c r="AB11" i="13"/>
  <c r="AB10" i="11"/>
  <c r="AB21" i="33"/>
  <c r="AB27" i="33" s="1"/>
  <c r="AV16" i="45"/>
  <c r="AV13" i="45"/>
  <c r="AV14" i="45"/>
  <c r="AV12" i="45"/>
  <c r="AV10" i="45"/>
  <c r="AV17" i="45"/>
  <c r="AV11" i="45"/>
  <c r="AV15" i="45"/>
  <c r="AV9" i="45"/>
  <c r="AD47" i="13"/>
  <c r="AD42" i="13"/>
  <c r="AD45" i="13"/>
  <c r="AD44" i="13"/>
  <c r="AD41" i="13"/>
  <c r="AD46" i="13"/>
  <c r="AD43" i="13"/>
  <c r="AD48" i="13"/>
  <c r="AD49" i="13"/>
  <c r="AA59" i="13"/>
  <c r="AA20" i="49" s="1"/>
  <c r="AA21" i="49" s="1"/>
  <c r="AA10" i="49" s="1"/>
  <c r="Z9" i="49"/>
  <c r="Z16" i="48" s="1"/>
  <c r="AA24" i="49"/>
  <c r="AA26" i="49" s="1"/>
  <c r="AA19" i="11"/>
  <c r="AC8" i="29" s="1"/>
  <c r="BG24" i="49"/>
  <c r="W50" i="13"/>
  <c r="W51" i="13" s="1"/>
  <c r="V13" i="25" s="1"/>
  <c r="AV55" i="45"/>
  <c r="AV54" i="45"/>
  <c r="AV53" i="45"/>
  <c r="AV8" i="45"/>
  <c r="Y35" i="13"/>
  <c r="Y36" i="13" s="1"/>
  <c r="X12" i="25" s="1"/>
  <c r="Y56" i="13"/>
  <c r="V62" i="13"/>
  <c r="V64" i="13" s="1"/>
  <c r="W13" i="29" s="1"/>
  <c r="AC61" i="13"/>
  <c r="W57" i="13"/>
  <c r="W28" i="13"/>
  <c r="V10" i="25" s="1"/>
  <c r="V11" i="25" s="1"/>
  <c r="AD33" i="13"/>
  <c r="AD34" i="13"/>
  <c r="AC60" i="13"/>
  <c r="Z71" i="46"/>
  <c r="Z31" i="13" s="1"/>
  <c r="AA73" i="46"/>
  <c r="AA99" i="46" s="1"/>
  <c r="AA69" i="46"/>
  <c r="AA95" i="46" s="1"/>
  <c r="AA74" i="46"/>
  <c r="AA100" i="46" s="1"/>
  <c r="AA70" i="46"/>
  <c r="AA96" i="46" s="1"/>
  <c r="AA64" i="46"/>
  <c r="AA90" i="46" s="1"/>
  <c r="AA67" i="46"/>
  <c r="AA93" i="46" s="1"/>
  <c r="AA66" i="46"/>
  <c r="AA92" i="46" s="1"/>
  <c r="AA63" i="46"/>
  <c r="AA89" i="46" s="1"/>
  <c r="AA61" i="46"/>
  <c r="AA87" i="46" s="1"/>
  <c r="AA68" i="46"/>
  <c r="AA94" i="46" s="1"/>
  <c r="AA62" i="46"/>
  <c r="AA88" i="46" s="1"/>
  <c r="AA65" i="46"/>
  <c r="AA91" i="46" s="1"/>
  <c r="AD25" i="46"/>
  <c r="AD29" i="46"/>
  <c r="AD26" i="46"/>
  <c r="AD30" i="46"/>
  <c r="AD28" i="46"/>
  <c r="AD31" i="46"/>
  <c r="AD27" i="46"/>
  <c r="AD23" i="46"/>
  <c r="AD11" i="46"/>
  <c r="AD13" i="46"/>
  <c r="AD16" i="46"/>
  <c r="AD22" i="46"/>
  <c r="AD10" i="46"/>
  <c r="AD17" i="46"/>
  <c r="AD18" i="46"/>
  <c r="AD12" i="46"/>
  <c r="AD19" i="46"/>
  <c r="AD21" i="46"/>
  <c r="AD15" i="46"/>
  <c r="AD14" i="46"/>
  <c r="Z86" i="46"/>
  <c r="Z9" i="13" s="1"/>
  <c r="Z60" i="46"/>
  <c r="Z8" i="13" s="1"/>
  <c r="AC9" i="46"/>
  <c r="Z101" i="46"/>
  <c r="AV49" i="45"/>
  <c r="AV45" i="45"/>
  <c r="AV39" i="45"/>
  <c r="AV52" i="45"/>
  <c r="AV41" i="45"/>
  <c r="AV51" i="45"/>
  <c r="AV47" i="45"/>
  <c r="AV48" i="45"/>
  <c r="AV42" i="45"/>
  <c r="AV37" i="45"/>
  <c r="AV40" i="45"/>
  <c r="AV50" i="45"/>
  <c r="AV44" i="45"/>
  <c r="AV36" i="45"/>
  <c r="AV38" i="45"/>
  <c r="Z97" i="46"/>
  <c r="Z32" i="13" s="1"/>
  <c r="Z75" i="46"/>
  <c r="Z39" i="13" s="1"/>
  <c r="AA80" i="46"/>
  <c r="AA106" i="46" s="1"/>
  <c r="AA76" i="46"/>
  <c r="AA102" i="46" s="1"/>
  <c r="AA79" i="46"/>
  <c r="AA105" i="46" s="1"/>
  <c r="AA82" i="46"/>
  <c r="AA108" i="46" s="1"/>
  <c r="AA77" i="46"/>
  <c r="AA103" i="46" s="1"/>
  <c r="AA78" i="46"/>
  <c r="AA104" i="46" s="1"/>
  <c r="AA81" i="46"/>
  <c r="AA107" i="46" s="1"/>
  <c r="AB49" i="46"/>
  <c r="AC24" i="46"/>
  <c r="AW58" i="45"/>
  <c r="AW59" i="45"/>
  <c r="BM11" i="49"/>
  <c r="Z10" i="48"/>
  <c r="BM10" i="48" s="1"/>
  <c r="BM12" i="48"/>
  <c r="BM24" i="49"/>
  <c r="BM26" i="49"/>
  <c r="AE13" i="20"/>
  <c r="AD13" i="20"/>
  <c r="AA14" i="20"/>
  <c r="S13" i="19"/>
  <c r="T13" i="25"/>
  <c r="T14" i="25" s="1"/>
  <c r="T17" i="25" s="1"/>
  <c r="T23" i="25" s="1"/>
  <c r="U53" i="13"/>
  <c r="V14" i="29" s="1"/>
  <c r="X28" i="13"/>
  <c r="W10" i="25" s="1"/>
  <c r="W11" i="25" s="1"/>
  <c r="AA98" i="46"/>
  <c r="Y27" i="13"/>
  <c r="AC20" i="46"/>
  <c r="U18" i="29"/>
  <c r="E14" i="19"/>
  <c r="X9" i="49"/>
  <c r="BM9" i="49" s="1"/>
  <c r="AA13" i="49"/>
  <c r="AA18" i="48" s="1"/>
  <c r="Z18" i="48"/>
  <c r="BM18" i="48" s="1"/>
  <c r="G20" i="29"/>
  <c r="F17" i="48" s="1"/>
  <c r="G21" i="29"/>
  <c r="Y22" i="25"/>
  <c r="Z26" i="13"/>
  <c r="Z63" i="13" s="1"/>
  <c r="Z9" i="25"/>
  <c r="V51" i="13"/>
  <c r="U13" i="25" s="1"/>
  <c r="U14" i="25" s="1"/>
  <c r="AH22" i="20"/>
  <c r="AB51" i="46"/>
  <c r="AB53" i="46"/>
  <c r="AB55" i="46"/>
  <c r="AB52" i="46"/>
  <c r="AB54" i="46"/>
  <c r="AB57" i="46"/>
  <c r="AB56" i="46"/>
  <c r="AB40" i="46"/>
  <c r="AB42" i="46"/>
  <c r="AB41" i="46"/>
  <c r="AB44" i="46"/>
  <c r="AB43" i="46"/>
  <c r="AB45" i="46"/>
  <c r="Y83" i="46"/>
  <c r="Z9" i="29"/>
  <c r="Z19" i="29" s="1"/>
  <c r="AB19" i="33"/>
  <c r="AB16" i="33"/>
  <c r="AB13" i="48" s="1"/>
  <c r="AD3" i="33"/>
  <c r="AD13" i="33" s="1"/>
  <c r="AC15" i="33"/>
  <c r="AB4" i="33"/>
  <c r="AC14" i="33"/>
  <c r="AC20" i="33" s="1"/>
  <c r="AC26" i="33" s="1"/>
  <c r="AC2" i="33"/>
  <c r="AC1" i="33"/>
  <c r="AA25" i="33"/>
  <c r="AA28" i="33" s="1"/>
  <c r="AA12" i="48" s="1"/>
  <c r="AA10" i="48" s="1"/>
  <c r="AA22" i="33"/>
  <c r="AB36" i="46"/>
  <c r="AB38" i="46"/>
  <c r="AB37" i="46"/>
  <c r="AB39" i="46"/>
  <c r="AD3" i="11"/>
  <c r="AC1" i="11"/>
  <c r="AC2" i="11"/>
  <c r="AB4" i="11"/>
  <c r="AJ2" i="20"/>
  <c r="AI4" i="20"/>
  <c r="AI21" i="20" s="1"/>
  <c r="AK3" i="20"/>
  <c r="AJ1" i="20"/>
  <c r="Y40" i="13"/>
  <c r="AC2" i="19"/>
  <c r="AD3" i="19"/>
  <c r="AB4" i="19"/>
  <c r="AC1" i="19"/>
  <c r="X40" i="13"/>
  <c r="X50" i="13" s="1"/>
  <c r="X109" i="46"/>
  <c r="AD2" i="13"/>
  <c r="AE3" i="13"/>
  <c r="AD1" i="13"/>
  <c r="AC4" i="13"/>
  <c r="AB2" i="25"/>
  <c r="AC3" i="25"/>
  <c r="AA4" i="25"/>
  <c r="AB1" i="25"/>
  <c r="AC113" i="46"/>
  <c r="AC112" i="46"/>
  <c r="AB47" i="46"/>
  <c r="AB72" i="46" s="1"/>
  <c r="AB48" i="46"/>
  <c r="AD2" i="46"/>
  <c r="AE3" i="46"/>
  <c r="AC4" i="46"/>
  <c r="AD1" i="46"/>
  <c r="AB32" i="46"/>
  <c r="AW21" i="45"/>
  <c r="AW20" i="45"/>
  <c r="AD2" i="10"/>
  <c r="AC4" i="10"/>
  <c r="AE3" i="10"/>
  <c r="AD1" i="10"/>
  <c r="AF3" i="29"/>
  <c r="AE2" i="29"/>
  <c r="AD4" i="29"/>
  <c r="AE1" i="29"/>
  <c r="AX2" i="45"/>
  <c r="AY3" i="45"/>
  <c r="AW4" i="45"/>
  <c r="AX1" i="45"/>
  <c r="AB4" i="24"/>
  <c r="AC1" i="24"/>
  <c r="AC2" i="24"/>
  <c r="AD3" i="24"/>
  <c r="AE21" i="13" l="1"/>
  <c r="AE23" i="13"/>
  <c r="AE25" i="13"/>
  <c r="AE20" i="13"/>
  <c r="AE24" i="13"/>
  <c r="AE22" i="13"/>
  <c r="AB58" i="13"/>
  <c r="AB19" i="49" s="1"/>
  <c r="U17" i="25"/>
  <c r="U23" i="25" s="1"/>
  <c r="AC19" i="13"/>
  <c r="AC18" i="11"/>
  <c r="AC14" i="13"/>
  <c r="AC13" i="11"/>
  <c r="AC11" i="13"/>
  <c r="AC10" i="11"/>
  <c r="AC17" i="13"/>
  <c r="AC16" i="11"/>
  <c r="AC13" i="13"/>
  <c r="AC12" i="11"/>
  <c r="AE10" i="10"/>
  <c r="AE13" i="10"/>
  <c r="AE8" i="10"/>
  <c r="AE15" i="10"/>
  <c r="AE11" i="10"/>
  <c r="AE14" i="10"/>
  <c r="AE9" i="10"/>
  <c r="AE16" i="10"/>
  <c r="AE12" i="10"/>
  <c r="AE17" i="10"/>
  <c r="AC18" i="13"/>
  <c r="AC17" i="11"/>
  <c r="AC15" i="13"/>
  <c r="AC14" i="11"/>
  <c r="AC10" i="13"/>
  <c r="AC9" i="11"/>
  <c r="AC12" i="13"/>
  <c r="AC11" i="11"/>
  <c r="AW26" i="45"/>
  <c r="AW27" i="45"/>
  <c r="AW30" i="45"/>
  <c r="AW34" i="45"/>
  <c r="AW31" i="45"/>
  <c r="AW29" i="45"/>
  <c r="AW32" i="45"/>
  <c r="AW33" i="45"/>
  <c r="AW28" i="45"/>
  <c r="AW25" i="45"/>
  <c r="AC16" i="13"/>
  <c r="AC15" i="11"/>
  <c r="AC21" i="33"/>
  <c r="AC27" i="33" s="1"/>
  <c r="AW11" i="45"/>
  <c r="AW15" i="45"/>
  <c r="AW12" i="45"/>
  <c r="AW16" i="45"/>
  <c r="AW17" i="45"/>
  <c r="AW13" i="45"/>
  <c r="AW14" i="45"/>
  <c r="AW10" i="45"/>
  <c r="AW9" i="45"/>
  <c r="W62" i="13"/>
  <c r="W64" i="13" s="1"/>
  <c r="X13" i="29" s="1"/>
  <c r="AE44" i="13"/>
  <c r="AE47" i="13"/>
  <c r="AE42" i="13"/>
  <c r="AE41" i="13"/>
  <c r="AE46" i="13"/>
  <c r="AE43" i="13"/>
  <c r="AE48" i="13"/>
  <c r="AE45" i="13"/>
  <c r="AE49" i="13"/>
  <c r="AB24" i="49"/>
  <c r="AB26" i="49" s="1"/>
  <c r="AB11" i="49" s="1"/>
  <c r="AB19" i="11"/>
  <c r="AD8" i="29" s="1"/>
  <c r="BH24" i="49"/>
  <c r="AB59" i="13"/>
  <c r="AB20" i="49" s="1"/>
  <c r="V14" i="25"/>
  <c r="AW55" i="45"/>
  <c r="AW54" i="45"/>
  <c r="AW53" i="45"/>
  <c r="Y50" i="13"/>
  <c r="Y51" i="13" s="1"/>
  <c r="X13" i="25" s="1"/>
  <c r="AW8" i="45"/>
  <c r="T15" i="25"/>
  <c r="Z35" i="13"/>
  <c r="Z36" i="13" s="1"/>
  <c r="Y12" i="25" s="1"/>
  <c r="AE34" i="13"/>
  <c r="AE33" i="13"/>
  <c r="Y57" i="13"/>
  <c r="Y29" i="49" s="1"/>
  <c r="X57" i="13"/>
  <c r="X29" i="49" s="1"/>
  <c r="X30" i="49" s="1"/>
  <c r="AD61" i="13"/>
  <c r="AD60" i="13"/>
  <c r="Z56" i="13"/>
  <c r="AA71" i="46"/>
  <c r="AA31" i="13" s="1"/>
  <c r="AA60" i="46"/>
  <c r="AA8" i="13" s="1"/>
  <c r="AB62" i="46"/>
  <c r="AB88" i="46" s="1"/>
  <c r="AB63" i="46"/>
  <c r="AB89" i="46" s="1"/>
  <c r="AB69" i="46"/>
  <c r="AB95" i="46" s="1"/>
  <c r="AB61" i="46"/>
  <c r="AB87" i="46" s="1"/>
  <c r="AB66" i="46"/>
  <c r="AB92" i="46" s="1"/>
  <c r="AB65" i="46"/>
  <c r="AB91" i="46" s="1"/>
  <c r="AB74" i="46"/>
  <c r="AB100" i="46" s="1"/>
  <c r="AB67" i="46"/>
  <c r="AB93" i="46" s="1"/>
  <c r="AB68" i="46"/>
  <c r="AB94" i="46" s="1"/>
  <c r="AB73" i="46"/>
  <c r="AB99" i="46" s="1"/>
  <c r="AB64" i="46"/>
  <c r="AB90" i="46" s="1"/>
  <c r="AB70" i="46"/>
  <c r="AB96" i="46" s="1"/>
  <c r="AE26" i="46"/>
  <c r="AE25" i="46"/>
  <c r="AE30" i="46"/>
  <c r="AE28" i="46"/>
  <c r="AE31" i="46"/>
  <c r="AE27" i="46"/>
  <c r="AE29" i="46"/>
  <c r="AE12" i="46"/>
  <c r="AE14" i="46"/>
  <c r="AE17" i="46"/>
  <c r="AE23" i="46"/>
  <c r="AE11" i="46"/>
  <c r="AE22" i="46"/>
  <c r="AE10" i="46"/>
  <c r="AE18" i="46"/>
  <c r="AE19" i="46"/>
  <c r="AE21" i="46"/>
  <c r="AE15" i="46"/>
  <c r="AE13" i="46"/>
  <c r="AE16" i="46"/>
  <c r="AA86" i="46"/>
  <c r="AA9" i="13" s="1"/>
  <c r="AD9" i="46"/>
  <c r="AA101" i="46"/>
  <c r="AW42" i="45"/>
  <c r="AW48" i="45"/>
  <c r="AW41" i="45"/>
  <c r="AW50" i="45"/>
  <c r="AW39" i="45"/>
  <c r="AW44" i="45"/>
  <c r="AW36" i="45"/>
  <c r="AW40" i="45"/>
  <c r="AW37" i="45"/>
  <c r="AW49" i="45"/>
  <c r="AW45" i="45"/>
  <c r="AW51" i="45"/>
  <c r="AW52" i="45"/>
  <c r="AW38" i="45"/>
  <c r="AW47" i="45"/>
  <c r="AA97" i="46"/>
  <c r="AA32" i="13" s="1"/>
  <c r="AB81" i="46"/>
  <c r="AB107" i="46" s="1"/>
  <c r="AB82" i="46"/>
  <c r="AB108" i="46" s="1"/>
  <c r="AB79" i="46"/>
  <c r="AB105" i="46" s="1"/>
  <c r="AB77" i="46"/>
  <c r="AB103" i="46" s="1"/>
  <c r="AB80" i="46"/>
  <c r="AB106" i="46" s="1"/>
  <c r="AA75" i="46"/>
  <c r="AA39" i="13" s="1"/>
  <c r="AB78" i="46"/>
  <c r="AB104" i="46" s="1"/>
  <c r="AB76" i="46"/>
  <c r="AB102" i="46" s="1"/>
  <c r="AC49" i="46"/>
  <c r="AD24" i="46"/>
  <c r="AX58" i="45"/>
  <c r="AX59" i="45"/>
  <c r="L15" i="20"/>
  <c r="Z14" i="20"/>
  <c r="W29" i="49"/>
  <c r="W30" i="49" s="1"/>
  <c r="Y28" i="13"/>
  <c r="X10" i="25" s="1"/>
  <c r="X11" i="25" s="1"/>
  <c r="AB98" i="46"/>
  <c r="AD20" i="46"/>
  <c r="V53" i="13"/>
  <c r="AB13" i="49"/>
  <c r="AA11" i="49"/>
  <c r="X16" i="48"/>
  <c r="BM16" i="48" s="1"/>
  <c r="Z27" i="13"/>
  <c r="X62" i="13"/>
  <c r="Z22" i="25"/>
  <c r="AA26" i="13"/>
  <c r="AA63" i="13" s="1"/>
  <c r="AA9" i="25"/>
  <c r="U13" i="19"/>
  <c r="V18" i="29"/>
  <c r="U15" i="25"/>
  <c r="AI22" i="20"/>
  <c r="AC52" i="46"/>
  <c r="AC54" i="46"/>
  <c r="AC51" i="46"/>
  <c r="AC53" i="46"/>
  <c r="AC56" i="46"/>
  <c r="AC55" i="46"/>
  <c r="AC57" i="46"/>
  <c r="Y109" i="46"/>
  <c r="AC41" i="46"/>
  <c r="AC40" i="46"/>
  <c r="AC42" i="46"/>
  <c r="AC43" i="46"/>
  <c r="AC45" i="46"/>
  <c r="AC44" i="46"/>
  <c r="Y12" i="19"/>
  <c r="AC19" i="33"/>
  <c r="AC16" i="33"/>
  <c r="AC13" i="48" s="1"/>
  <c r="AD15" i="33"/>
  <c r="AD21" i="33" s="1"/>
  <c r="AD27" i="33" s="1"/>
  <c r="AD14" i="33"/>
  <c r="AD20" i="33" s="1"/>
  <c r="AD26" i="33" s="1"/>
  <c r="AC4" i="33"/>
  <c r="AD1" i="33"/>
  <c r="AE3" i="33"/>
  <c r="AE13" i="33" s="1"/>
  <c r="AD2" i="33"/>
  <c r="AB22" i="33"/>
  <c r="AB25" i="33"/>
  <c r="AB28" i="33" s="1"/>
  <c r="AB12" i="48" s="1"/>
  <c r="AB10" i="48" s="1"/>
  <c r="AA9" i="29"/>
  <c r="AC37" i="46"/>
  <c r="AC39" i="46"/>
  <c r="AC36" i="46"/>
  <c r="AC38" i="46"/>
  <c r="Z83" i="46"/>
  <c r="H17" i="29"/>
  <c r="Z40" i="13"/>
  <c r="Z50" i="13" s="1"/>
  <c r="AE3" i="11"/>
  <c r="AD2" i="11"/>
  <c r="AD1" i="11"/>
  <c r="AC4" i="11"/>
  <c r="AL3" i="20"/>
  <c r="AJ4" i="20"/>
  <c r="AJ21" i="20" s="1"/>
  <c r="AK2" i="20"/>
  <c r="AK1" i="20"/>
  <c r="AD2" i="19"/>
  <c r="AE3" i="19"/>
  <c r="AD1" i="19"/>
  <c r="AC4" i="19"/>
  <c r="W53" i="13"/>
  <c r="AE2" i="46"/>
  <c r="AF3" i="46"/>
  <c r="AE1" i="46"/>
  <c r="AD4" i="46"/>
  <c r="AD113" i="46"/>
  <c r="AD112" i="46"/>
  <c r="AC32" i="46"/>
  <c r="AC47" i="46"/>
  <c r="AC72" i="46" s="1"/>
  <c r="AC48" i="46"/>
  <c r="AC2" i="25"/>
  <c r="AD3" i="25"/>
  <c r="AC1" i="25"/>
  <c r="AB4" i="25"/>
  <c r="AE2" i="13"/>
  <c r="AF3" i="13"/>
  <c r="AE1" i="13"/>
  <c r="AD4" i="13"/>
  <c r="AX21" i="45"/>
  <c r="AX20" i="45"/>
  <c r="AG3" i="29"/>
  <c r="AF2" i="29"/>
  <c r="AF1" i="29"/>
  <c r="AE4" i="29"/>
  <c r="AE2" i="10"/>
  <c r="AD4" i="10"/>
  <c r="AF3" i="10"/>
  <c r="AE1" i="10"/>
  <c r="AC4" i="24"/>
  <c r="AD1" i="24"/>
  <c r="AD2" i="24"/>
  <c r="AE3" i="24"/>
  <c r="AY2" i="45"/>
  <c r="AZ3" i="45"/>
  <c r="AX4" i="45"/>
  <c r="AY1" i="45"/>
  <c r="AB21" i="49" l="1"/>
  <c r="AB10" i="49" s="1"/>
  <c r="AF21" i="13"/>
  <c r="AF23" i="13"/>
  <c r="AF25" i="13"/>
  <c r="AF20" i="13"/>
  <c r="AF22" i="13"/>
  <c r="AF24" i="13"/>
  <c r="AC58" i="13"/>
  <c r="AC19" i="49" s="1"/>
  <c r="V15" i="25"/>
  <c r="V17" i="25"/>
  <c r="V23" i="25" s="1"/>
  <c r="AD12" i="13"/>
  <c r="AD11" i="11"/>
  <c r="AF10" i="10"/>
  <c r="AF11" i="10"/>
  <c r="AF16" i="10"/>
  <c r="AF8" i="10"/>
  <c r="AF13" i="10"/>
  <c r="AF14" i="10"/>
  <c r="AF15" i="10"/>
  <c r="AF9" i="10"/>
  <c r="AF17" i="10"/>
  <c r="AF12" i="10"/>
  <c r="AD14" i="13"/>
  <c r="AD13" i="11"/>
  <c r="AD18" i="13"/>
  <c r="AD17" i="11"/>
  <c r="AD16" i="13"/>
  <c r="AD15" i="11"/>
  <c r="AD15" i="13"/>
  <c r="AD14" i="11"/>
  <c r="AD13" i="13"/>
  <c r="AD12" i="11"/>
  <c r="AD17" i="13"/>
  <c r="AD16" i="11"/>
  <c r="AD19" i="13"/>
  <c r="AD18" i="11"/>
  <c r="AD11" i="13"/>
  <c r="AD10" i="11"/>
  <c r="AX27" i="45"/>
  <c r="AX30" i="45"/>
  <c r="AX31" i="45"/>
  <c r="AX26" i="45"/>
  <c r="AX34" i="45"/>
  <c r="AX25" i="45"/>
  <c r="AX29" i="45"/>
  <c r="AX32" i="45"/>
  <c r="AX33" i="45"/>
  <c r="AX28" i="45"/>
  <c r="AD10" i="13"/>
  <c r="AD58" i="13" s="1"/>
  <c r="AD19" i="49" s="1"/>
  <c r="AD9" i="11"/>
  <c r="AX13" i="45"/>
  <c r="AX14" i="45"/>
  <c r="AX15" i="45"/>
  <c r="AX17" i="45"/>
  <c r="AX10" i="45"/>
  <c r="AX16" i="45"/>
  <c r="AX11" i="45"/>
  <c r="AX12" i="45"/>
  <c r="AX9" i="45"/>
  <c r="Y62" i="13"/>
  <c r="Y64" i="13" s="1"/>
  <c r="Z13" i="29" s="1"/>
  <c r="Z14" i="29" s="1"/>
  <c r="Z18" i="29" s="1"/>
  <c r="AF41" i="13"/>
  <c r="AF49" i="13"/>
  <c r="AF44" i="13"/>
  <c r="AF47" i="13"/>
  <c r="AF46" i="13"/>
  <c r="AF43" i="13"/>
  <c r="AF48" i="13"/>
  <c r="AF42" i="13"/>
  <c r="AF45" i="13"/>
  <c r="AC24" i="49"/>
  <c r="AC26" i="49" s="1"/>
  <c r="AC59" i="13"/>
  <c r="AC20" i="49" s="1"/>
  <c r="AB9" i="49"/>
  <c r="AB16" i="48" s="1"/>
  <c r="AC19" i="11"/>
  <c r="AE8" i="29" s="1"/>
  <c r="BI24" i="49"/>
  <c r="X14" i="25"/>
  <c r="Z51" i="13"/>
  <c r="Y13" i="25" s="1"/>
  <c r="AX54" i="45"/>
  <c r="AX55" i="45"/>
  <c r="AX53" i="45"/>
  <c r="AX8" i="45"/>
  <c r="AA35" i="13"/>
  <c r="AA36" i="13" s="1"/>
  <c r="Z12" i="25" s="1"/>
  <c r="AE61" i="13"/>
  <c r="AA56" i="13"/>
  <c r="Z62" i="13"/>
  <c r="Z57" i="13"/>
  <c r="Z29" i="49" s="1"/>
  <c r="AE60" i="13"/>
  <c r="AF33" i="13"/>
  <c r="AF34" i="13"/>
  <c r="AB71" i="46"/>
  <c r="AB31" i="13" s="1"/>
  <c r="AC61" i="46"/>
  <c r="AC87" i="46" s="1"/>
  <c r="AC70" i="46"/>
  <c r="AC96" i="46" s="1"/>
  <c r="AC64" i="46"/>
  <c r="AC90" i="46" s="1"/>
  <c r="AC62" i="46"/>
  <c r="AC88" i="46" s="1"/>
  <c r="AC67" i="46"/>
  <c r="AC93" i="46" s="1"/>
  <c r="AC68" i="46"/>
  <c r="AC94" i="46" s="1"/>
  <c r="AC65" i="46"/>
  <c r="AC91" i="46" s="1"/>
  <c r="AC66" i="46"/>
  <c r="AC92" i="46" s="1"/>
  <c r="AC73" i="46"/>
  <c r="AC99" i="46" s="1"/>
  <c r="AC74" i="46"/>
  <c r="AC100" i="46" s="1"/>
  <c r="AC63" i="46"/>
  <c r="AC89" i="46" s="1"/>
  <c r="AC69" i="46"/>
  <c r="AC95" i="46" s="1"/>
  <c r="AF27" i="46"/>
  <c r="AF26" i="46"/>
  <c r="AF31" i="46"/>
  <c r="AF29" i="46"/>
  <c r="AF30" i="46"/>
  <c r="AF25" i="46"/>
  <c r="AF28" i="46"/>
  <c r="AF21" i="46"/>
  <c r="AF18" i="46"/>
  <c r="AF23" i="46"/>
  <c r="AF11" i="46"/>
  <c r="AF15" i="46"/>
  <c r="AF13" i="46"/>
  <c r="AF16" i="46"/>
  <c r="AF10" i="46"/>
  <c r="AF17" i="46"/>
  <c r="AF12" i="46"/>
  <c r="AF19" i="46"/>
  <c r="AF22" i="46"/>
  <c r="AF14" i="46"/>
  <c r="AB60" i="46"/>
  <c r="AB8" i="13" s="1"/>
  <c r="AB86" i="46"/>
  <c r="AB9" i="13" s="1"/>
  <c r="AE9" i="46"/>
  <c r="AB101" i="46"/>
  <c r="AX37" i="45"/>
  <c r="AX42" i="45"/>
  <c r="AX44" i="45"/>
  <c r="AX40" i="45"/>
  <c r="AX47" i="45"/>
  <c r="AX45" i="45"/>
  <c r="AX36" i="45"/>
  <c r="AX51" i="45"/>
  <c r="AX49" i="45"/>
  <c r="AX39" i="45"/>
  <c r="AX50" i="45"/>
  <c r="AX48" i="45"/>
  <c r="AX38" i="45"/>
  <c r="AX41" i="45"/>
  <c r="AX52" i="45"/>
  <c r="AB97" i="46"/>
  <c r="AB32" i="13" s="1"/>
  <c r="AC79" i="46"/>
  <c r="AC105" i="46" s="1"/>
  <c r="AB75" i="46"/>
  <c r="AB39" i="13" s="1"/>
  <c r="AC76" i="46"/>
  <c r="AC102" i="46" s="1"/>
  <c r="AC82" i="46"/>
  <c r="AC108" i="46" s="1"/>
  <c r="AC77" i="46"/>
  <c r="AC103" i="46" s="1"/>
  <c r="AC80" i="46"/>
  <c r="AC106" i="46" s="1"/>
  <c r="AC81" i="46"/>
  <c r="AC107" i="46" s="1"/>
  <c r="AC78" i="46"/>
  <c r="AC104" i="46" s="1"/>
  <c r="AD49" i="46"/>
  <c r="AE24" i="46"/>
  <c r="AY58" i="45"/>
  <c r="AY59" i="45"/>
  <c r="AB14" i="20"/>
  <c r="AF13" i="20"/>
  <c r="Y53" i="13"/>
  <c r="Y30" i="49"/>
  <c r="X51" i="13"/>
  <c r="W13" i="25" s="1"/>
  <c r="W14" i="25" s="1"/>
  <c r="W17" i="25" s="1"/>
  <c r="W23" i="25" s="1"/>
  <c r="Z28" i="13"/>
  <c r="Y10" i="25" s="1"/>
  <c r="Y11" i="25" s="1"/>
  <c r="AJ22" i="20"/>
  <c r="AC98" i="46"/>
  <c r="AE20" i="46"/>
  <c r="AA27" i="13"/>
  <c r="AC13" i="49"/>
  <c r="AC18" i="48" s="1"/>
  <c r="AA9" i="49"/>
  <c r="AB18" i="48"/>
  <c r="X14" i="29"/>
  <c r="X18" i="29" s="1"/>
  <c r="H20" i="29"/>
  <c r="G17" i="48" s="1"/>
  <c r="H21" i="29"/>
  <c r="Z12" i="19"/>
  <c r="AA19" i="29"/>
  <c r="AA22" i="25"/>
  <c r="AB26" i="13"/>
  <c r="AB63" i="13" s="1"/>
  <c r="AB9" i="25"/>
  <c r="AD51" i="46"/>
  <c r="AD53" i="46"/>
  <c r="AD52" i="46"/>
  <c r="AD54" i="46"/>
  <c r="AD55" i="46"/>
  <c r="AD57" i="46"/>
  <c r="AD56" i="46"/>
  <c r="AD40" i="46"/>
  <c r="AD42" i="46"/>
  <c r="AD41" i="46"/>
  <c r="AD44" i="46"/>
  <c r="AD43" i="46"/>
  <c r="AD45" i="46"/>
  <c r="Z109" i="46"/>
  <c r="AE14" i="33"/>
  <c r="AE20" i="33" s="1"/>
  <c r="AE26" i="33" s="1"/>
  <c r="AE2" i="33"/>
  <c r="AE1" i="33"/>
  <c r="AD4" i="33"/>
  <c r="AF3" i="33"/>
  <c r="AF13" i="33" s="1"/>
  <c r="AE15" i="33"/>
  <c r="AE21" i="33" s="1"/>
  <c r="AE27" i="33" s="1"/>
  <c r="AD16" i="33"/>
  <c r="AD13" i="48" s="1"/>
  <c r="AD19" i="33"/>
  <c r="AC25" i="33"/>
  <c r="AC28" i="33" s="1"/>
  <c r="AC12" i="48" s="1"/>
  <c r="AC10" i="48" s="1"/>
  <c r="AC22" i="33"/>
  <c r="AB9" i="29"/>
  <c r="AD36" i="46"/>
  <c r="AD38" i="46"/>
  <c r="AD37" i="46"/>
  <c r="AD39" i="46"/>
  <c r="W14" i="29"/>
  <c r="W18" i="29" s="1"/>
  <c r="AA83" i="46"/>
  <c r="F14" i="19"/>
  <c r="AF3" i="11"/>
  <c r="AE1" i="11"/>
  <c r="AE2" i="11"/>
  <c r="AD4" i="11"/>
  <c r="AL2" i="20"/>
  <c r="AK4" i="20"/>
  <c r="AK21" i="20" s="1"/>
  <c r="AM3" i="20"/>
  <c r="AL1" i="20"/>
  <c r="AE2" i="19"/>
  <c r="AF3" i="19"/>
  <c r="AD4" i="19"/>
  <c r="AE1" i="19"/>
  <c r="AF2" i="13"/>
  <c r="AG3" i="13"/>
  <c r="AF1" i="13"/>
  <c r="AE4" i="13"/>
  <c r="AD2" i="25"/>
  <c r="AE3" i="25"/>
  <c r="AC4" i="25"/>
  <c r="AD1" i="25"/>
  <c r="AD32" i="46"/>
  <c r="AD47" i="46"/>
  <c r="AD72" i="46" s="1"/>
  <c r="AD48" i="46"/>
  <c r="AE112" i="46"/>
  <c r="AE113" i="46"/>
  <c r="AF2" i="46"/>
  <c r="AG3" i="46"/>
  <c r="AE4" i="46"/>
  <c r="AF1" i="46"/>
  <c r="AY21" i="45"/>
  <c r="AY20" i="45"/>
  <c r="AF2" i="10"/>
  <c r="AE4" i="10"/>
  <c r="AG3" i="10"/>
  <c r="AF1" i="10"/>
  <c r="AG2" i="29"/>
  <c r="AH3" i="29"/>
  <c r="AF4" i="29"/>
  <c r="AG1" i="29"/>
  <c r="AZ2" i="45"/>
  <c r="BA3" i="45"/>
  <c r="AY4" i="45"/>
  <c r="AZ1" i="45"/>
  <c r="AD4" i="24"/>
  <c r="AE1" i="24"/>
  <c r="AE2" i="24"/>
  <c r="AF3" i="24"/>
  <c r="AC21" i="49" l="1"/>
  <c r="AC10" i="49" s="1"/>
  <c r="AG21" i="13"/>
  <c r="AG23" i="13"/>
  <c r="AG25" i="13"/>
  <c r="AG20" i="13"/>
  <c r="AG22" i="13"/>
  <c r="AG24" i="13"/>
  <c r="X17" i="25"/>
  <c r="X23" i="25" s="1"/>
  <c r="AE17" i="13"/>
  <c r="AE16" i="11"/>
  <c r="AE16" i="13"/>
  <c r="AE15" i="11"/>
  <c r="AE15" i="13"/>
  <c r="AE14" i="11"/>
  <c r="AE10" i="13"/>
  <c r="AE9" i="11"/>
  <c r="AG17" i="10"/>
  <c r="AG11" i="10"/>
  <c r="AG16" i="10"/>
  <c r="AG10" i="10"/>
  <c r="AG8" i="10"/>
  <c r="AG13" i="10"/>
  <c r="AG9" i="10"/>
  <c r="AG15" i="10"/>
  <c r="AG14" i="10"/>
  <c r="AG12" i="10"/>
  <c r="AE11" i="13"/>
  <c r="AE10" i="11"/>
  <c r="AE18" i="13"/>
  <c r="AE17" i="11"/>
  <c r="AY26" i="45"/>
  <c r="AY27" i="45"/>
  <c r="AY30" i="45"/>
  <c r="AY34" i="45"/>
  <c r="AY31" i="45"/>
  <c r="AY25" i="45"/>
  <c r="AY32" i="45"/>
  <c r="AY33" i="45"/>
  <c r="AY28" i="45"/>
  <c r="AY29" i="45"/>
  <c r="AE13" i="13"/>
  <c r="AE12" i="11"/>
  <c r="AE12" i="13"/>
  <c r="AE11" i="11"/>
  <c r="AE14" i="13"/>
  <c r="AE13" i="11"/>
  <c r="AE19" i="13"/>
  <c r="AE18" i="11"/>
  <c r="AY14" i="45"/>
  <c r="AY11" i="45"/>
  <c r="AY15" i="45"/>
  <c r="AY12" i="45"/>
  <c r="AY10" i="45"/>
  <c r="AY13" i="45"/>
  <c r="AY16" i="45"/>
  <c r="AY17" i="45"/>
  <c r="AY9" i="45"/>
  <c r="AG46" i="13"/>
  <c r="AG41" i="13"/>
  <c r="AG44" i="13"/>
  <c r="AG49" i="13"/>
  <c r="AG45" i="13"/>
  <c r="AG47" i="13"/>
  <c r="AG48" i="13"/>
  <c r="AG43" i="13"/>
  <c r="AG42" i="13"/>
  <c r="X15" i="25"/>
  <c r="AD24" i="49"/>
  <c r="AD26" i="49" s="1"/>
  <c r="AD11" i="49" s="1"/>
  <c r="AD19" i="11"/>
  <c r="AF8" i="29" s="1"/>
  <c r="BJ24" i="49"/>
  <c r="AD59" i="13"/>
  <c r="AD20" i="49" s="1"/>
  <c r="AD21" i="49" s="1"/>
  <c r="AD10" i="49" s="1"/>
  <c r="Y14" i="25"/>
  <c r="AY54" i="45"/>
  <c r="AY55" i="45"/>
  <c r="AY53" i="45"/>
  <c r="AY8" i="45"/>
  <c r="W15" i="25"/>
  <c r="AC71" i="46"/>
  <c r="AC31" i="13" s="1"/>
  <c r="AF61" i="13"/>
  <c r="AF60" i="13"/>
  <c r="AG34" i="13"/>
  <c r="AG33" i="13"/>
  <c r="AB56" i="13"/>
  <c r="AB35" i="13"/>
  <c r="AB36" i="13" s="1"/>
  <c r="AA12" i="25" s="1"/>
  <c r="AD61" i="46"/>
  <c r="AD87" i="46" s="1"/>
  <c r="AD66" i="46"/>
  <c r="AD92" i="46" s="1"/>
  <c r="AD64" i="46"/>
  <c r="AD90" i="46" s="1"/>
  <c r="AD73" i="46"/>
  <c r="AD99" i="46" s="1"/>
  <c r="AD62" i="46"/>
  <c r="AD88" i="46" s="1"/>
  <c r="AD68" i="46"/>
  <c r="AD94" i="46" s="1"/>
  <c r="AD67" i="46"/>
  <c r="AD93" i="46" s="1"/>
  <c r="AD65" i="46"/>
  <c r="AD91" i="46" s="1"/>
  <c r="AD70" i="46"/>
  <c r="AD96" i="46" s="1"/>
  <c r="AD74" i="46"/>
  <c r="AD100" i="46" s="1"/>
  <c r="AD63" i="46"/>
  <c r="AD89" i="46" s="1"/>
  <c r="AD69" i="46"/>
  <c r="AD95" i="46" s="1"/>
  <c r="AG28" i="46"/>
  <c r="AG27" i="46"/>
  <c r="AG26" i="46"/>
  <c r="AG29" i="46"/>
  <c r="AG25" i="46"/>
  <c r="AG30" i="46"/>
  <c r="AG31" i="46"/>
  <c r="AG19" i="46"/>
  <c r="AG23" i="46"/>
  <c r="AG11" i="46"/>
  <c r="AG13" i="46"/>
  <c r="AG16" i="46"/>
  <c r="AG22" i="46"/>
  <c r="AG14" i="46"/>
  <c r="AG10" i="46"/>
  <c r="AG17" i="46"/>
  <c r="AG18" i="46"/>
  <c r="AG12" i="46"/>
  <c r="AG15" i="46"/>
  <c r="AG21" i="46"/>
  <c r="AC86" i="46"/>
  <c r="AC9" i="13" s="1"/>
  <c r="AC60" i="46"/>
  <c r="AC8" i="13" s="1"/>
  <c r="AF9" i="46"/>
  <c r="AY44" i="45"/>
  <c r="AY48" i="45"/>
  <c r="AY41" i="45"/>
  <c r="AY37" i="45"/>
  <c r="AY38" i="45"/>
  <c r="AY51" i="45"/>
  <c r="AY50" i="45"/>
  <c r="AY45" i="45"/>
  <c r="AY52" i="45"/>
  <c r="AY49" i="45"/>
  <c r="AY39" i="45"/>
  <c r="AY42" i="45"/>
  <c r="AY47" i="45"/>
  <c r="AY36" i="45"/>
  <c r="AY40" i="45"/>
  <c r="AC101" i="46"/>
  <c r="AC97" i="46"/>
  <c r="AC32" i="13" s="1"/>
  <c r="AD81" i="46"/>
  <c r="AD107" i="46" s="1"/>
  <c r="AD76" i="46"/>
  <c r="AD102" i="46" s="1"/>
  <c r="AD80" i="46"/>
  <c r="AD106" i="46" s="1"/>
  <c r="AD77" i="46"/>
  <c r="AD103" i="46" s="1"/>
  <c r="AD82" i="46"/>
  <c r="AD108" i="46" s="1"/>
  <c r="AD79" i="46"/>
  <c r="AD105" i="46" s="1"/>
  <c r="AC75" i="46"/>
  <c r="AC39" i="13" s="1"/>
  <c r="AD78" i="46"/>
  <c r="AD104" i="46" s="1"/>
  <c r="AE49" i="46"/>
  <c r="AF24" i="46"/>
  <c r="AZ58" i="45"/>
  <c r="AZ59" i="45"/>
  <c r="AG13" i="20"/>
  <c r="Z30" i="49"/>
  <c r="X53" i="13"/>
  <c r="Z53" i="13"/>
  <c r="X64" i="13"/>
  <c r="Y13" i="29" s="1"/>
  <c r="Y14" i="29" s="1"/>
  <c r="Y18" i="29" s="1"/>
  <c r="Z64" i="13"/>
  <c r="AA13" i="29" s="1"/>
  <c r="AA28" i="13"/>
  <c r="Z10" i="25" s="1"/>
  <c r="Z11" i="25" s="1"/>
  <c r="AK22" i="20"/>
  <c r="AD98" i="46"/>
  <c r="Y13" i="19"/>
  <c r="W13" i="19"/>
  <c r="AF20" i="46"/>
  <c r="AC11" i="49"/>
  <c r="AD13" i="49"/>
  <c r="AD18" i="48" s="1"/>
  <c r="AA16" i="48"/>
  <c r="AB27" i="13"/>
  <c r="AA12" i="19"/>
  <c r="AB19" i="29"/>
  <c r="AB22" i="25"/>
  <c r="AC26" i="13"/>
  <c r="AC63" i="13" s="1"/>
  <c r="AC9" i="25"/>
  <c r="AE52" i="46"/>
  <c r="AE54" i="46"/>
  <c r="AE51" i="46"/>
  <c r="AE53" i="46"/>
  <c r="AE56" i="46"/>
  <c r="AE55" i="46"/>
  <c r="AE57" i="46"/>
  <c r="AE41" i="46"/>
  <c r="AE40" i="46"/>
  <c r="AE42" i="46"/>
  <c r="AE43" i="46"/>
  <c r="AE45" i="46"/>
  <c r="AE44" i="46"/>
  <c r="AC9" i="29"/>
  <c r="AC19" i="29" s="1"/>
  <c r="AF15" i="33"/>
  <c r="AF21" i="33" s="1"/>
  <c r="AF27" i="33" s="1"/>
  <c r="AF14" i="33"/>
  <c r="AF20" i="33" s="1"/>
  <c r="AF26" i="33" s="1"/>
  <c r="AE4" i="33"/>
  <c r="AG3" i="33"/>
  <c r="AG13" i="33" s="1"/>
  <c r="AF2" i="33"/>
  <c r="AF1" i="33"/>
  <c r="AE19" i="33"/>
  <c r="AE16" i="33"/>
  <c r="AE13" i="48" s="1"/>
  <c r="AD22" i="33"/>
  <c r="AD25" i="33"/>
  <c r="AD28" i="33" s="1"/>
  <c r="AD12" i="48" s="1"/>
  <c r="AD10" i="48" s="1"/>
  <c r="AE37" i="46"/>
  <c r="AE39" i="46"/>
  <c r="AE36" i="46"/>
  <c r="AE38" i="46"/>
  <c r="V13" i="19"/>
  <c r="AB83" i="46"/>
  <c r="I17" i="29"/>
  <c r="M15" i="20"/>
  <c r="AG3" i="11"/>
  <c r="AF2" i="11"/>
  <c r="AF1" i="11"/>
  <c r="AE4" i="11"/>
  <c r="AM2" i="20"/>
  <c r="AM1" i="20"/>
  <c r="AN3" i="20"/>
  <c r="AL4" i="20"/>
  <c r="AL21" i="20" s="1"/>
  <c r="AF2" i="19"/>
  <c r="AG3" i="19"/>
  <c r="AF1" i="19"/>
  <c r="AE4" i="19"/>
  <c r="AG2" i="46"/>
  <c r="AH3" i="46"/>
  <c r="AF4" i="46"/>
  <c r="AG1" i="46"/>
  <c r="AF113" i="46"/>
  <c r="AF112" i="46"/>
  <c r="AE47" i="46"/>
  <c r="AE72" i="46" s="1"/>
  <c r="AE48" i="46"/>
  <c r="AE32" i="46"/>
  <c r="AA40" i="13"/>
  <c r="AA50" i="13" s="1"/>
  <c r="AA109" i="46"/>
  <c r="AE2" i="25"/>
  <c r="AF3" i="25"/>
  <c r="AE1" i="25"/>
  <c r="AD4" i="25"/>
  <c r="AG2" i="13"/>
  <c r="AH3" i="13"/>
  <c r="AG1" i="13"/>
  <c r="AF4" i="13"/>
  <c r="AE4" i="24"/>
  <c r="AF1" i="24"/>
  <c r="AF2" i="24"/>
  <c r="AG3" i="24"/>
  <c r="AZ21" i="45"/>
  <c r="AZ20" i="45"/>
  <c r="AI3" i="29"/>
  <c r="AH2" i="29"/>
  <c r="AH1" i="29"/>
  <c r="AG4" i="29"/>
  <c r="BA2" i="45"/>
  <c r="BB3" i="45"/>
  <c r="BA1" i="45"/>
  <c r="AZ4" i="45"/>
  <c r="AG2" i="10"/>
  <c r="AH3" i="10"/>
  <c r="AF4" i="10"/>
  <c r="AG1" i="10"/>
  <c r="AE58" i="13" l="1"/>
  <c r="AE19" i="49" s="1"/>
  <c r="AH20" i="13"/>
  <c r="AH25" i="13"/>
  <c r="AH23" i="13"/>
  <c r="AH21" i="13"/>
  <c r="AH24" i="13"/>
  <c r="AH22" i="13"/>
  <c r="Y17" i="25"/>
  <c r="Y23" i="25" s="1"/>
  <c r="AF19" i="13"/>
  <c r="AF18" i="11"/>
  <c r="AZ32" i="45"/>
  <c r="AZ26" i="45"/>
  <c r="AZ28" i="45"/>
  <c r="AZ29" i="45"/>
  <c r="AZ33" i="45"/>
  <c r="AZ27" i="45"/>
  <c r="AZ30" i="45"/>
  <c r="AZ25" i="45"/>
  <c r="AZ34" i="45"/>
  <c r="AZ31" i="45"/>
  <c r="AF14" i="13"/>
  <c r="AF13" i="11"/>
  <c r="AF16" i="13"/>
  <c r="AF15" i="11"/>
  <c r="AF17" i="13"/>
  <c r="AF16" i="11"/>
  <c r="AF11" i="13"/>
  <c r="AF10" i="11"/>
  <c r="AF15" i="13"/>
  <c r="AF14" i="11"/>
  <c r="AF10" i="13"/>
  <c r="AF58" i="13" s="1"/>
  <c r="AF19" i="49" s="1"/>
  <c r="AF9" i="11"/>
  <c r="AF12" i="13"/>
  <c r="AF11" i="11"/>
  <c r="AH14" i="10"/>
  <c r="AH17" i="10"/>
  <c r="AH8" i="10"/>
  <c r="AH13" i="10"/>
  <c r="AH11" i="10"/>
  <c r="AH16" i="10"/>
  <c r="AH10" i="10"/>
  <c r="AH9" i="10"/>
  <c r="AH15" i="10"/>
  <c r="AH12" i="10"/>
  <c r="AF18" i="13"/>
  <c r="AF17" i="11"/>
  <c r="AF13" i="13"/>
  <c r="AF12" i="11"/>
  <c r="AZ11" i="45"/>
  <c r="AZ16" i="45"/>
  <c r="AZ10" i="45"/>
  <c r="AZ17" i="45"/>
  <c r="AZ14" i="45"/>
  <c r="AZ15" i="45"/>
  <c r="AZ13" i="45"/>
  <c r="AZ12" i="45"/>
  <c r="AZ9" i="45"/>
  <c r="AH43" i="13"/>
  <c r="AH46" i="13"/>
  <c r="AH41" i="13"/>
  <c r="AH49" i="13"/>
  <c r="AH42" i="13"/>
  <c r="AH47" i="13"/>
  <c r="AH44" i="13"/>
  <c r="AH48" i="13"/>
  <c r="AH45" i="13"/>
  <c r="AE59" i="13"/>
  <c r="AE20" i="49" s="1"/>
  <c r="AE21" i="49" s="1"/>
  <c r="AE10" i="49" s="1"/>
  <c r="AE24" i="49"/>
  <c r="AE26" i="49" s="1"/>
  <c r="AE11" i="49" s="1"/>
  <c r="AD9" i="49"/>
  <c r="AD16" i="48" s="1"/>
  <c r="AE19" i="11"/>
  <c r="AG8" i="29" s="1"/>
  <c r="Y15" i="25"/>
  <c r="AZ55" i="45"/>
  <c r="AZ54" i="45"/>
  <c r="AZ53" i="45"/>
  <c r="AC35" i="13"/>
  <c r="AC36" i="13" s="1"/>
  <c r="AB12" i="25" s="1"/>
  <c r="AZ8" i="45"/>
  <c r="AG61" i="13"/>
  <c r="AC56" i="13"/>
  <c r="AG60" i="13"/>
  <c r="AA57" i="13"/>
  <c r="AA29" i="49" s="1"/>
  <c r="AA30" i="49" s="1"/>
  <c r="AH33" i="13"/>
  <c r="AH34" i="13"/>
  <c r="AD71" i="46"/>
  <c r="AD31" i="13" s="1"/>
  <c r="AD60" i="46"/>
  <c r="AD8" i="13" s="1"/>
  <c r="AE67" i="46"/>
  <c r="AE93" i="46" s="1"/>
  <c r="AE74" i="46"/>
  <c r="AE100" i="46" s="1"/>
  <c r="AE61" i="46"/>
  <c r="AE87" i="46" s="1"/>
  <c r="AE68" i="46"/>
  <c r="AE94" i="46" s="1"/>
  <c r="AE64" i="46"/>
  <c r="AE90" i="46" s="1"/>
  <c r="AE62" i="46"/>
  <c r="AE88" i="46" s="1"/>
  <c r="AE65" i="46"/>
  <c r="AE91" i="46" s="1"/>
  <c r="AE66" i="46"/>
  <c r="AE92" i="46" s="1"/>
  <c r="AE73" i="46"/>
  <c r="AE99" i="46" s="1"/>
  <c r="AE69" i="46"/>
  <c r="AE95" i="46" s="1"/>
  <c r="AE63" i="46"/>
  <c r="AE89" i="46" s="1"/>
  <c r="AE70" i="46"/>
  <c r="AE96" i="46" s="1"/>
  <c r="AH29" i="46"/>
  <c r="AH28" i="46"/>
  <c r="AH25" i="46"/>
  <c r="AH27" i="46"/>
  <c r="AH30" i="46"/>
  <c r="AH31" i="46"/>
  <c r="AH26" i="46"/>
  <c r="AH22" i="46"/>
  <c r="AH10" i="46"/>
  <c r="AH21" i="46"/>
  <c r="AH12" i="46"/>
  <c r="AH14" i="46"/>
  <c r="AH17" i="46"/>
  <c r="AH15" i="46"/>
  <c r="AH23" i="46"/>
  <c r="AH13" i="46"/>
  <c r="AH16" i="46"/>
  <c r="AH11" i="46"/>
  <c r="AH18" i="46"/>
  <c r="AH19" i="46"/>
  <c r="AD86" i="46"/>
  <c r="AD9" i="13" s="1"/>
  <c r="AG9" i="46"/>
  <c r="AZ48" i="45"/>
  <c r="AZ37" i="45"/>
  <c r="AZ49" i="45"/>
  <c r="AZ45" i="45"/>
  <c r="AZ44" i="45"/>
  <c r="AZ41" i="45"/>
  <c r="AZ42" i="45"/>
  <c r="AZ36" i="45"/>
  <c r="AZ52" i="45"/>
  <c r="AZ51" i="45"/>
  <c r="AZ40" i="45"/>
  <c r="AZ38" i="45"/>
  <c r="AZ39" i="45"/>
  <c r="AZ50" i="45"/>
  <c r="AZ47" i="45"/>
  <c r="AD101" i="46"/>
  <c r="AD97" i="46"/>
  <c r="AD32" i="13" s="1"/>
  <c r="AE82" i="46"/>
  <c r="AE108" i="46" s="1"/>
  <c r="AE77" i="46"/>
  <c r="AE103" i="46" s="1"/>
  <c r="AE80" i="46"/>
  <c r="AE106" i="46" s="1"/>
  <c r="AD75" i="46"/>
  <c r="AD39" i="13" s="1"/>
  <c r="AE81" i="46"/>
  <c r="AE107" i="46" s="1"/>
  <c r="AE78" i="46"/>
  <c r="AE104" i="46" s="1"/>
  <c r="AE76" i="46"/>
  <c r="AE102" i="46" s="1"/>
  <c r="AE79" i="46"/>
  <c r="AE105" i="46" s="1"/>
  <c r="AF49" i="46"/>
  <c r="AG24" i="46"/>
  <c r="BA58" i="45"/>
  <c r="BA59" i="45"/>
  <c r="AH13" i="20"/>
  <c r="AD14" i="20"/>
  <c r="AF14" i="20"/>
  <c r="AA14" i="29"/>
  <c r="Z13" i="19" s="1"/>
  <c r="AB28" i="13"/>
  <c r="AA10" i="25" s="1"/>
  <c r="AA11" i="25" s="1"/>
  <c r="AL22" i="20"/>
  <c r="AE98" i="46"/>
  <c r="AG20" i="46"/>
  <c r="AC27" i="13"/>
  <c r="X13" i="19"/>
  <c r="AC9" i="49"/>
  <c r="AE13" i="49"/>
  <c r="AE18" i="48" s="1"/>
  <c r="AC22" i="25"/>
  <c r="AD26" i="13"/>
  <c r="AD63" i="13" s="1"/>
  <c r="AA62" i="13"/>
  <c r="I20" i="29"/>
  <c r="H17" i="48" s="1"/>
  <c r="I21" i="29"/>
  <c r="AD9" i="25"/>
  <c r="AF51" i="46"/>
  <c r="AF76" i="46" s="1"/>
  <c r="AF102" i="46" s="1"/>
  <c r="AF53" i="46"/>
  <c r="AF78" i="46" s="1"/>
  <c r="AF104" i="46" s="1"/>
  <c r="AF52" i="46"/>
  <c r="AF77" i="46" s="1"/>
  <c r="AF103" i="46" s="1"/>
  <c r="AF54" i="46"/>
  <c r="AF79" i="46" s="1"/>
  <c r="AF105" i="46" s="1"/>
  <c r="AF55" i="46"/>
  <c r="AF80" i="46" s="1"/>
  <c r="AF106" i="46" s="1"/>
  <c r="AF57" i="46"/>
  <c r="AF82" i="46" s="1"/>
  <c r="AF108" i="46" s="1"/>
  <c r="AF56" i="46"/>
  <c r="AF81" i="46" s="1"/>
  <c r="AF107" i="46" s="1"/>
  <c r="AF40" i="46"/>
  <c r="AF42" i="46"/>
  <c r="AF41" i="46"/>
  <c r="AF44" i="46"/>
  <c r="AF43" i="46"/>
  <c r="AF45" i="46"/>
  <c r="AB12" i="19"/>
  <c r="AD9" i="29"/>
  <c r="AD19" i="29" s="1"/>
  <c r="AE22" i="33"/>
  <c r="AE25" i="33"/>
  <c r="AE28" i="33" s="1"/>
  <c r="AE12" i="48" s="1"/>
  <c r="AF16" i="33"/>
  <c r="AF13" i="48" s="1"/>
  <c r="AF19" i="33"/>
  <c r="AH3" i="33"/>
  <c r="AH13" i="33" s="1"/>
  <c r="AG15" i="33"/>
  <c r="AG21" i="33" s="1"/>
  <c r="AG27" i="33" s="1"/>
  <c r="AF4" i="33"/>
  <c r="AG14" i="33"/>
  <c r="AG20" i="33" s="1"/>
  <c r="AG26" i="33" s="1"/>
  <c r="AG2" i="33"/>
  <c r="AG1" i="33"/>
  <c r="AC83" i="46"/>
  <c r="AC14" i="20"/>
  <c r="AF36" i="46"/>
  <c r="AF38" i="46"/>
  <c r="AF37" i="46"/>
  <c r="AF39" i="46"/>
  <c r="G14" i="19"/>
  <c r="AH3" i="11"/>
  <c r="AG1" i="11"/>
  <c r="AG2" i="11"/>
  <c r="AF4" i="11"/>
  <c r="AC40" i="13"/>
  <c r="AN2" i="20"/>
  <c r="AM4" i="20"/>
  <c r="AM21" i="20" s="1"/>
  <c r="AO3" i="20"/>
  <c r="AN1" i="20"/>
  <c r="AG2" i="19"/>
  <c r="AH3" i="19"/>
  <c r="AF4" i="19"/>
  <c r="AG1" i="19"/>
  <c r="AB40" i="13"/>
  <c r="AB50" i="13" s="1"/>
  <c r="AB109" i="46"/>
  <c r="AH2" i="46"/>
  <c r="AI3" i="46"/>
  <c r="AG4" i="46"/>
  <c r="AH1" i="46"/>
  <c r="AF32" i="46"/>
  <c r="AH2" i="13"/>
  <c r="AI3" i="13"/>
  <c r="AH1" i="13"/>
  <c r="AG4" i="13"/>
  <c r="AF2" i="25"/>
  <c r="AG3" i="25"/>
  <c r="AE4" i="25"/>
  <c r="AF1" i="25"/>
  <c r="AF47" i="46"/>
  <c r="AF72" i="46" s="1"/>
  <c r="AF48" i="46"/>
  <c r="AG113" i="46"/>
  <c r="AG112" i="46"/>
  <c r="AH2" i="10"/>
  <c r="AG4" i="10"/>
  <c r="AI3" i="10"/>
  <c r="AH1" i="10"/>
  <c r="BA21" i="45"/>
  <c r="BA20" i="45"/>
  <c r="BB2" i="45"/>
  <c r="BC3" i="45"/>
  <c r="BA4" i="45"/>
  <c r="BB1" i="45"/>
  <c r="AI2" i="29"/>
  <c r="AJ3" i="29"/>
  <c r="AI1" i="29"/>
  <c r="AH4" i="29"/>
  <c r="AF4" i="24"/>
  <c r="AG1" i="24"/>
  <c r="AG2" i="24"/>
  <c r="AH3" i="24"/>
  <c r="AI20" i="13" l="1"/>
  <c r="AI25" i="13"/>
  <c r="AI23" i="13"/>
  <c r="AI21" i="13"/>
  <c r="AI24" i="13"/>
  <c r="AI22" i="13"/>
  <c r="AG17" i="13"/>
  <c r="AG16" i="11"/>
  <c r="AG11" i="13"/>
  <c r="AG10" i="11"/>
  <c r="AG18" i="13"/>
  <c r="AG17" i="11"/>
  <c r="AG13" i="13"/>
  <c r="AG12" i="11"/>
  <c r="AG15" i="13"/>
  <c r="AG14" i="11"/>
  <c r="AG10" i="13"/>
  <c r="AG9" i="11"/>
  <c r="AG12" i="13"/>
  <c r="AG11" i="11"/>
  <c r="AG19" i="13"/>
  <c r="AG18" i="11"/>
  <c r="AG16" i="13"/>
  <c r="AG15" i="11"/>
  <c r="AG14" i="13"/>
  <c r="AG13" i="11"/>
  <c r="BA27" i="45"/>
  <c r="BA29" i="45"/>
  <c r="BA32" i="45"/>
  <c r="BA28" i="45"/>
  <c r="BA33" i="45"/>
  <c r="BA30" i="45"/>
  <c r="BA25" i="45"/>
  <c r="BA26" i="45"/>
  <c r="BA34" i="45"/>
  <c r="BA31" i="45"/>
  <c r="AI11" i="10"/>
  <c r="AI14" i="10"/>
  <c r="AI17" i="10"/>
  <c r="AI8" i="10"/>
  <c r="AI13" i="10"/>
  <c r="AI16" i="10"/>
  <c r="AI9" i="10"/>
  <c r="AI15" i="10"/>
  <c r="AI10" i="10"/>
  <c r="AI12" i="10"/>
  <c r="BA16" i="45"/>
  <c r="BA11" i="45"/>
  <c r="BA15" i="45"/>
  <c r="BA12" i="45"/>
  <c r="BA17" i="45"/>
  <c r="BA13" i="45"/>
  <c r="BA10" i="45"/>
  <c r="BA14" i="45"/>
  <c r="BA9" i="45"/>
  <c r="AI48" i="13"/>
  <c r="AI43" i="13"/>
  <c r="AI46" i="13"/>
  <c r="AI45" i="13"/>
  <c r="AI42" i="13"/>
  <c r="AI47" i="13"/>
  <c r="AI49" i="13"/>
  <c r="AI44" i="13"/>
  <c r="AI41" i="13"/>
  <c r="AF59" i="13"/>
  <c r="AF20" i="49" s="1"/>
  <c r="AF21" i="49" s="1"/>
  <c r="AF10" i="49" s="1"/>
  <c r="AE9" i="49"/>
  <c r="AE16" i="48" s="1"/>
  <c r="AF24" i="49"/>
  <c r="AF19" i="11"/>
  <c r="AH8" i="29" s="1"/>
  <c r="BA55" i="45"/>
  <c r="BA54" i="45"/>
  <c r="BA53" i="45"/>
  <c r="AC50" i="13"/>
  <c r="AC51" i="13" s="1"/>
  <c r="AB13" i="25" s="1"/>
  <c r="BA8" i="45"/>
  <c r="AE71" i="46"/>
  <c r="AE31" i="13" s="1"/>
  <c r="AD56" i="13"/>
  <c r="AH61" i="13"/>
  <c r="AB57" i="13"/>
  <c r="AB29" i="49" s="1"/>
  <c r="AB30" i="49" s="1"/>
  <c r="AI34" i="13"/>
  <c r="AI33" i="13"/>
  <c r="AH60" i="13"/>
  <c r="AC57" i="13"/>
  <c r="AC29" i="49" s="1"/>
  <c r="AD35" i="13"/>
  <c r="AD36" i="13" s="1"/>
  <c r="AC12" i="25" s="1"/>
  <c r="AE60" i="46"/>
  <c r="AE8" i="13" s="1"/>
  <c r="AF61" i="46"/>
  <c r="AF87" i="46" s="1"/>
  <c r="AF73" i="46"/>
  <c r="AF99" i="46" s="1"/>
  <c r="AF62" i="46"/>
  <c r="AF88" i="46" s="1"/>
  <c r="AF64" i="46"/>
  <c r="AF90" i="46" s="1"/>
  <c r="AF63" i="46"/>
  <c r="AF89" i="46" s="1"/>
  <c r="AF70" i="46"/>
  <c r="AF96" i="46" s="1"/>
  <c r="AF74" i="46"/>
  <c r="AF100" i="46" s="1"/>
  <c r="AF69" i="46"/>
  <c r="AF95" i="46" s="1"/>
  <c r="AF66" i="46"/>
  <c r="AF92" i="46" s="1"/>
  <c r="AF67" i="46"/>
  <c r="AF93" i="46" s="1"/>
  <c r="AF68" i="46"/>
  <c r="AF94" i="46" s="1"/>
  <c r="AF65" i="46"/>
  <c r="AF91" i="46" s="1"/>
  <c r="AI30" i="46"/>
  <c r="AI29" i="46"/>
  <c r="AI26" i="46"/>
  <c r="AI27" i="46"/>
  <c r="AI25" i="46"/>
  <c r="AI31" i="46"/>
  <c r="AI28" i="46"/>
  <c r="AI21" i="46"/>
  <c r="AI18" i="46"/>
  <c r="AI22" i="46"/>
  <c r="AI14" i="46"/>
  <c r="AI15" i="46"/>
  <c r="AI23" i="46"/>
  <c r="AI13" i="46"/>
  <c r="AI16" i="46"/>
  <c r="AI10" i="46"/>
  <c r="AI17" i="46"/>
  <c r="AI11" i="46"/>
  <c r="AI12" i="46"/>
  <c r="AI19" i="46"/>
  <c r="AE86" i="46"/>
  <c r="AH9" i="46"/>
  <c r="AF101" i="46"/>
  <c r="AE101" i="46"/>
  <c r="BA49" i="45"/>
  <c r="BA39" i="45"/>
  <c r="BA40" i="45"/>
  <c r="BA50" i="45"/>
  <c r="BA44" i="45"/>
  <c r="BA38" i="45"/>
  <c r="BA51" i="45"/>
  <c r="BA41" i="45"/>
  <c r="BA52" i="45"/>
  <c r="BA37" i="45"/>
  <c r="BA42" i="45"/>
  <c r="BA36" i="45"/>
  <c r="BA47" i="45"/>
  <c r="BA48" i="45"/>
  <c r="BA45" i="45"/>
  <c r="AE97" i="46"/>
  <c r="AE32" i="13" s="1"/>
  <c r="AE75" i="46"/>
  <c r="AE39" i="13" s="1"/>
  <c r="AF75" i="46"/>
  <c r="AG49" i="46"/>
  <c r="AH24" i="46"/>
  <c r="BB58" i="45"/>
  <c r="BB59" i="45"/>
  <c r="AI13" i="20"/>
  <c r="AG14" i="20"/>
  <c r="AE14" i="20"/>
  <c r="AA18" i="29"/>
  <c r="AM22" i="20"/>
  <c r="AA51" i="13"/>
  <c r="Z13" i="25" s="1"/>
  <c r="Z14" i="25" s="1"/>
  <c r="Z17" i="25" s="1"/>
  <c r="Z23" i="25" s="1"/>
  <c r="AC28" i="13"/>
  <c r="AB10" i="25" s="1"/>
  <c r="AB11" i="25" s="1"/>
  <c r="AF98" i="46"/>
  <c r="AD27" i="13"/>
  <c r="AH20" i="46"/>
  <c r="AE10" i="48"/>
  <c r="AF13" i="49"/>
  <c r="AC16" i="48"/>
  <c r="AE9" i="25"/>
  <c r="AB62" i="13"/>
  <c r="AD22" i="25"/>
  <c r="AE26" i="13"/>
  <c r="AE63" i="13" s="1"/>
  <c r="AG52" i="46"/>
  <c r="AG54" i="46"/>
  <c r="AG51" i="46"/>
  <c r="AG53" i="46"/>
  <c r="AG56" i="46"/>
  <c r="AG55" i="46"/>
  <c r="AG57" i="46"/>
  <c r="AG41" i="46"/>
  <c r="AG40" i="46"/>
  <c r="AG42" i="46"/>
  <c r="AG43" i="46"/>
  <c r="AG45" i="46"/>
  <c r="AG44" i="46"/>
  <c r="AC109" i="46"/>
  <c r="AC12" i="19"/>
  <c r="AF22" i="33"/>
  <c r="AF25" i="33"/>
  <c r="AF28" i="33" s="1"/>
  <c r="AF12" i="48" s="1"/>
  <c r="AF10" i="48" s="1"/>
  <c r="AG16" i="33"/>
  <c r="AG13" i="48" s="1"/>
  <c r="AG19" i="33"/>
  <c r="AI3" i="33"/>
  <c r="AI13" i="33" s="1"/>
  <c r="AH2" i="33"/>
  <c r="AH1" i="33"/>
  <c r="AH15" i="33"/>
  <c r="AH21" i="33" s="1"/>
  <c r="AH27" i="33" s="1"/>
  <c r="AH14" i="33"/>
  <c r="AH20" i="33" s="1"/>
  <c r="AH26" i="33" s="1"/>
  <c r="AG4" i="33"/>
  <c r="AE9" i="29"/>
  <c r="AE19" i="29" s="1"/>
  <c r="AG37" i="46"/>
  <c r="AG39" i="46"/>
  <c r="AG36" i="46"/>
  <c r="AG38" i="46"/>
  <c r="AD83" i="46"/>
  <c r="J17" i="29"/>
  <c r="N15" i="20"/>
  <c r="AI3" i="11"/>
  <c r="AH2" i="11"/>
  <c r="AH1" i="11"/>
  <c r="AG4" i="11"/>
  <c r="AO1" i="20"/>
  <c r="AN4" i="20"/>
  <c r="AN21" i="20" s="1"/>
  <c r="AP3" i="20"/>
  <c r="AO2" i="20"/>
  <c r="AD109" i="46"/>
  <c r="AH2" i="19"/>
  <c r="AI3" i="19"/>
  <c r="AH1" i="19"/>
  <c r="AG4" i="19"/>
  <c r="AG2" i="25"/>
  <c r="AH3" i="25"/>
  <c r="AG1" i="25"/>
  <c r="AF4" i="25"/>
  <c r="AI2" i="13"/>
  <c r="AJ3" i="13"/>
  <c r="AH4" i="13"/>
  <c r="AI1" i="13"/>
  <c r="AG32" i="46"/>
  <c r="AG47" i="46"/>
  <c r="AG72" i="46" s="1"/>
  <c r="AG48" i="46"/>
  <c r="AI2" i="46"/>
  <c r="AJ3" i="46"/>
  <c r="AI1" i="46"/>
  <c r="AH4" i="46"/>
  <c r="AH112" i="46"/>
  <c r="AH113" i="46"/>
  <c r="BC2" i="45"/>
  <c r="BD3" i="45"/>
  <c r="BB4" i="45"/>
  <c r="BC1" i="45"/>
  <c r="AG4" i="24"/>
  <c r="AH1" i="24"/>
  <c r="AH2" i="24"/>
  <c r="AI3" i="24"/>
  <c r="AK3" i="29"/>
  <c r="AJ2" i="29"/>
  <c r="AJ1" i="29"/>
  <c r="AI4" i="29"/>
  <c r="BB21" i="45"/>
  <c r="BB20" i="45"/>
  <c r="AI2" i="10"/>
  <c r="AH4" i="10"/>
  <c r="AJ3" i="10"/>
  <c r="AI1" i="10"/>
  <c r="AJ22" i="13" l="1"/>
  <c r="AJ20" i="13"/>
  <c r="AJ25" i="13"/>
  <c r="AJ21" i="13"/>
  <c r="AJ23" i="13"/>
  <c r="AJ24" i="13"/>
  <c r="AG58" i="13"/>
  <c r="AG19" i="49" s="1"/>
  <c r="AH17" i="13"/>
  <c r="AH16" i="11"/>
  <c r="AH18" i="13"/>
  <c r="AH17" i="11"/>
  <c r="AH15" i="13"/>
  <c r="AH14" i="11"/>
  <c r="AH10" i="13"/>
  <c r="AH9" i="11"/>
  <c r="AH19" i="13"/>
  <c r="AH18" i="11"/>
  <c r="AH16" i="13"/>
  <c r="AH15" i="11"/>
  <c r="AH13" i="13"/>
  <c r="AH12" i="11"/>
  <c r="AJ8" i="10"/>
  <c r="AJ11" i="10"/>
  <c r="AJ14" i="10"/>
  <c r="AJ16" i="10"/>
  <c r="AJ13" i="10"/>
  <c r="AJ9" i="10"/>
  <c r="AJ15" i="10"/>
  <c r="AJ10" i="10"/>
  <c r="AJ17" i="10"/>
  <c r="AJ12" i="10"/>
  <c r="BB27" i="45"/>
  <c r="BB25" i="45"/>
  <c r="BB29" i="45"/>
  <c r="BB28" i="45"/>
  <c r="BB33" i="45"/>
  <c r="BB30" i="45"/>
  <c r="BB26" i="45"/>
  <c r="BB32" i="45"/>
  <c r="BB31" i="45"/>
  <c r="BB34" i="45"/>
  <c r="AH14" i="13"/>
  <c r="AH13" i="11"/>
  <c r="AH11" i="13"/>
  <c r="AH10" i="11"/>
  <c r="AH12" i="13"/>
  <c r="AH11" i="11"/>
  <c r="BB14" i="45"/>
  <c r="BB16" i="45"/>
  <c r="BB17" i="45"/>
  <c r="BB13" i="45"/>
  <c r="BB11" i="45"/>
  <c r="BB12" i="45"/>
  <c r="BB15" i="45"/>
  <c r="BB10" i="45"/>
  <c r="BB9" i="45"/>
  <c r="AC62" i="13"/>
  <c r="AC64" i="13" s="1"/>
  <c r="AD13" i="29" s="1"/>
  <c r="AJ45" i="13"/>
  <c r="AJ48" i="13"/>
  <c r="AJ43" i="13"/>
  <c r="AJ42" i="13"/>
  <c r="AJ47" i="13"/>
  <c r="AJ49" i="13"/>
  <c r="AJ44" i="13"/>
  <c r="AJ41" i="13"/>
  <c r="AJ46" i="13"/>
  <c r="AB14" i="25"/>
  <c r="AG24" i="49"/>
  <c r="AG26" i="49" s="1"/>
  <c r="AG11" i="49" s="1"/>
  <c r="AG19" i="11"/>
  <c r="AI8" i="29" s="1"/>
  <c r="AG59" i="13"/>
  <c r="AG20" i="49" s="1"/>
  <c r="AE35" i="13"/>
  <c r="AE36" i="13" s="1"/>
  <c r="AD12" i="25" s="1"/>
  <c r="BB54" i="45"/>
  <c r="BB55" i="45"/>
  <c r="BB53" i="45"/>
  <c r="AF71" i="46"/>
  <c r="AF31" i="13" s="1"/>
  <c r="BB8" i="45"/>
  <c r="Z15" i="25"/>
  <c r="AI61" i="13"/>
  <c r="AE56" i="13"/>
  <c r="AI60" i="13"/>
  <c r="AJ33" i="13"/>
  <c r="AJ34" i="13"/>
  <c r="AG73" i="46"/>
  <c r="AG99" i="46" s="1"/>
  <c r="AG63" i="46"/>
  <c r="AG89" i="46" s="1"/>
  <c r="AG66" i="46"/>
  <c r="AG92" i="46" s="1"/>
  <c r="AG61" i="46"/>
  <c r="AG87" i="46" s="1"/>
  <c r="AG69" i="46"/>
  <c r="AG95" i="46" s="1"/>
  <c r="AG74" i="46"/>
  <c r="AG100" i="46" s="1"/>
  <c r="AG64" i="46"/>
  <c r="AG90" i="46" s="1"/>
  <c r="AG70" i="46"/>
  <c r="AG96" i="46" s="1"/>
  <c r="AG62" i="46"/>
  <c r="AG88" i="46" s="1"/>
  <c r="AG68" i="46"/>
  <c r="AG94" i="46" s="1"/>
  <c r="AG67" i="46"/>
  <c r="AG93" i="46" s="1"/>
  <c r="AG65" i="46"/>
  <c r="AG91" i="46" s="1"/>
  <c r="AJ30" i="46"/>
  <c r="AJ27" i="46"/>
  <c r="AJ28" i="46"/>
  <c r="AJ25" i="46"/>
  <c r="AJ31" i="46"/>
  <c r="AJ29" i="46"/>
  <c r="AJ26" i="46"/>
  <c r="AJ23" i="46"/>
  <c r="AJ11" i="46"/>
  <c r="AJ22" i="46"/>
  <c r="AJ10" i="46"/>
  <c r="AJ21" i="46"/>
  <c r="AJ19" i="46"/>
  <c r="AJ12" i="46"/>
  <c r="AJ14" i="46"/>
  <c r="AJ15" i="46"/>
  <c r="AJ13" i="46"/>
  <c r="AJ16" i="46"/>
  <c r="AJ17" i="46"/>
  <c r="AJ18" i="46"/>
  <c r="AF86" i="46"/>
  <c r="AF9" i="13" s="1"/>
  <c r="AF60" i="46"/>
  <c r="AF8" i="13" s="1"/>
  <c r="AI9" i="46"/>
  <c r="BB37" i="45"/>
  <c r="BB48" i="45"/>
  <c r="BB42" i="45"/>
  <c r="BB44" i="45"/>
  <c r="BB45" i="45"/>
  <c r="BB36" i="45"/>
  <c r="BB39" i="45"/>
  <c r="BB52" i="45"/>
  <c r="BB51" i="45"/>
  <c r="BB47" i="45"/>
  <c r="BB40" i="45"/>
  <c r="BB49" i="45"/>
  <c r="BB41" i="45"/>
  <c r="BB50" i="45"/>
  <c r="BB38" i="45"/>
  <c r="AF97" i="46"/>
  <c r="AF32" i="13" s="1"/>
  <c r="AG82" i="46"/>
  <c r="AG108" i="46" s="1"/>
  <c r="AG80" i="46"/>
  <c r="AG106" i="46" s="1"/>
  <c r="AG79" i="46"/>
  <c r="AG105" i="46" s="1"/>
  <c r="AG77" i="46"/>
  <c r="AG103" i="46" s="1"/>
  <c r="AG81" i="46"/>
  <c r="AG107" i="46" s="1"/>
  <c r="AG78" i="46"/>
  <c r="AG104" i="46" s="1"/>
  <c r="AG76" i="46"/>
  <c r="AG102" i="46" s="1"/>
  <c r="AH49" i="46"/>
  <c r="AI24" i="46"/>
  <c r="BC58" i="45"/>
  <c r="BC59" i="45"/>
  <c r="AJ13" i="20"/>
  <c r="AA53" i="13"/>
  <c r="AN22" i="20"/>
  <c r="AC30" i="49"/>
  <c r="AA64" i="13"/>
  <c r="AB13" i="29" s="1"/>
  <c r="AB14" i="29" s="1"/>
  <c r="AB18" i="29" s="1"/>
  <c r="AB51" i="13"/>
  <c r="AA13" i="25" s="1"/>
  <c r="AA14" i="25" s="1"/>
  <c r="AB64" i="13"/>
  <c r="AC13" i="29" s="1"/>
  <c r="AD28" i="13"/>
  <c r="AC10" i="25" s="1"/>
  <c r="AC11" i="25" s="1"/>
  <c r="AE9" i="13"/>
  <c r="AG98" i="46"/>
  <c r="AI20" i="46"/>
  <c r="AF18" i="48"/>
  <c r="AG13" i="49"/>
  <c r="AG18" i="48" s="1"/>
  <c r="AF26" i="49"/>
  <c r="AE22" i="25"/>
  <c r="AF26" i="13"/>
  <c r="AF63" i="13" s="1"/>
  <c r="AF9" i="25"/>
  <c r="J20" i="29"/>
  <c r="I17" i="48" s="1"/>
  <c r="J21" i="29"/>
  <c r="AH51" i="46"/>
  <c r="AH53" i="46"/>
  <c r="AH52" i="46"/>
  <c r="AH54" i="46"/>
  <c r="AH55" i="46"/>
  <c r="AH57" i="46"/>
  <c r="AH56" i="46"/>
  <c r="AH40" i="46"/>
  <c r="AH42" i="46"/>
  <c r="AH41" i="46"/>
  <c r="AH44" i="46"/>
  <c r="AH43" i="46"/>
  <c r="AH45" i="46"/>
  <c r="AI14" i="33"/>
  <c r="AI20" i="33" s="1"/>
  <c r="AI26" i="33" s="1"/>
  <c r="AI2" i="33"/>
  <c r="AI1" i="33"/>
  <c r="AJ3" i="33"/>
  <c r="AJ13" i="33" s="1"/>
  <c r="AI15" i="33"/>
  <c r="AI21" i="33" s="1"/>
  <c r="AI27" i="33" s="1"/>
  <c r="AH4" i="33"/>
  <c r="AG22" i="33"/>
  <c r="AG25" i="33"/>
  <c r="AG28" i="33" s="1"/>
  <c r="AG12" i="48" s="1"/>
  <c r="AG10" i="48" s="1"/>
  <c r="AH16" i="33"/>
  <c r="AH13" i="48" s="1"/>
  <c r="AH19" i="33"/>
  <c r="AF9" i="29"/>
  <c r="AF19" i="29" s="1"/>
  <c r="AG9" i="29"/>
  <c r="AG19" i="29" s="1"/>
  <c r="AH36" i="46"/>
  <c r="AH38" i="46"/>
  <c r="AH37" i="46"/>
  <c r="AH39" i="46"/>
  <c r="AD12" i="19"/>
  <c r="AF39" i="13"/>
  <c r="H14" i="19"/>
  <c r="AJ3" i="11"/>
  <c r="AI2" i="11"/>
  <c r="AH4" i="11"/>
  <c r="AI1" i="11"/>
  <c r="AD40" i="13"/>
  <c r="AD50" i="13" s="1"/>
  <c r="AE83" i="46"/>
  <c r="AQ3" i="20"/>
  <c r="AO4" i="20"/>
  <c r="AO21" i="20" s="1"/>
  <c r="AP1" i="20"/>
  <c r="AP2" i="20"/>
  <c r="AI2" i="19"/>
  <c r="AJ3" i="19"/>
  <c r="AH4" i="19"/>
  <c r="AI1" i="19"/>
  <c r="AH47" i="46"/>
  <c r="AH72" i="46" s="1"/>
  <c r="AH48" i="46"/>
  <c r="AK3" i="46"/>
  <c r="AJ2" i="46"/>
  <c r="AI4" i="46"/>
  <c r="AJ1" i="46"/>
  <c r="AC53" i="13"/>
  <c r="AH32" i="46"/>
  <c r="AI113" i="46"/>
  <c r="AI112" i="46"/>
  <c r="AJ2" i="13"/>
  <c r="AK3" i="13"/>
  <c r="AI4" i="13"/>
  <c r="AJ1" i="13"/>
  <c r="AH2" i="25"/>
  <c r="AI3" i="25"/>
  <c r="AG4" i="25"/>
  <c r="AH1" i="25"/>
  <c r="AK2" i="29"/>
  <c r="AL3" i="29"/>
  <c r="AK1" i="29"/>
  <c r="AJ4" i="29"/>
  <c r="AI2" i="24"/>
  <c r="AJ3" i="24"/>
  <c r="AH4" i="24"/>
  <c r="AI1" i="24"/>
  <c r="BD2" i="45"/>
  <c r="BE3" i="45"/>
  <c r="BC4" i="45"/>
  <c r="BD1" i="45"/>
  <c r="AJ2" i="10"/>
  <c r="AI4" i="10"/>
  <c r="AK3" i="10"/>
  <c r="AJ1" i="10"/>
  <c r="BC21" i="45"/>
  <c r="BC20" i="45"/>
  <c r="AG21" i="49" l="1"/>
  <c r="AG10" i="49" s="1"/>
  <c r="AK21" i="13"/>
  <c r="AK23" i="13"/>
  <c r="AK25" i="13"/>
  <c r="AK22" i="13"/>
  <c r="AK20" i="13"/>
  <c r="AK24" i="13"/>
  <c r="AH58" i="13"/>
  <c r="AH19" i="49" s="1"/>
  <c r="AA17" i="25"/>
  <c r="AA23" i="25" s="1"/>
  <c r="AB15" i="25"/>
  <c r="AB17" i="25"/>
  <c r="AB23" i="25" s="1"/>
  <c r="AK8" i="10"/>
  <c r="AK11" i="10"/>
  <c r="AK9" i="10"/>
  <c r="AK14" i="10"/>
  <c r="AK12" i="10"/>
  <c r="AK13" i="10"/>
  <c r="AK16" i="10"/>
  <c r="AK10" i="10"/>
  <c r="AK17" i="10"/>
  <c r="AK15" i="10"/>
  <c r="AI14" i="13"/>
  <c r="AI13" i="11"/>
  <c r="AI12" i="13"/>
  <c r="AI11" i="11"/>
  <c r="AI17" i="13"/>
  <c r="AI16" i="11"/>
  <c r="AI11" i="13"/>
  <c r="AI10" i="11"/>
  <c r="AI19" i="13"/>
  <c r="AI18" i="11"/>
  <c r="AI15" i="13"/>
  <c r="AI14" i="11"/>
  <c r="AI18" i="13"/>
  <c r="AI17" i="11"/>
  <c r="AI16" i="13"/>
  <c r="AI15" i="11"/>
  <c r="AI13" i="13"/>
  <c r="AI12" i="11"/>
  <c r="BC25" i="45"/>
  <c r="BC29" i="45"/>
  <c r="BC27" i="45"/>
  <c r="BC28" i="45"/>
  <c r="BC33" i="45"/>
  <c r="BC30" i="45"/>
  <c r="BC34" i="45"/>
  <c r="BC32" i="45"/>
  <c r="BC31" i="45"/>
  <c r="BC26" i="45"/>
  <c r="AI10" i="13"/>
  <c r="AI9" i="11"/>
  <c r="BC14" i="45"/>
  <c r="BC10" i="45"/>
  <c r="BC11" i="45"/>
  <c r="BC13" i="45"/>
  <c r="BC15" i="45"/>
  <c r="BC17" i="45"/>
  <c r="BC16" i="45"/>
  <c r="BC12" i="45"/>
  <c r="BC9" i="45"/>
  <c r="AK42" i="13"/>
  <c r="AK45" i="13"/>
  <c r="AK48" i="13"/>
  <c r="AK47" i="13"/>
  <c r="AK49" i="13"/>
  <c r="AK44" i="13"/>
  <c r="AK43" i="13"/>
  <c r="AK46" i="13"/>
  <c r="AK41" i="13"/>
  <c r="AF35" i="13"/>
  <c r="AF36" i="13" s="1"/>
  <c r="AE12" i="25" s="1"/>
  <c r="AG9" i="49"/>
  <c r="AG16" i="48" s="1"/>
  <c r="AH19" i="11"/>
  <c r="AJ8" i="29" s="1"/>
  <c r="AH59" i="13"/>
  <c r="AH20" i="49" s="1"/>
  <c r="BC55" i="45"/>
  <c r="BC54" i="45"/>
  <c r="BC53" i="45"/>
  <c r="BC8" i="45"/>
  <c r="AD57" i="13"/>
  <c r="AD29" i="49" s="1"/>
  <c r="AD30" i="49" s="1"/>
  <c r="AF56" i="13"/>
  <c r="AJ60" i="13"/>
  <c r="AK33" i="13"/>
  <c r="AK34" i="13"/>
  <c r="AJ61" i="13"/>
  <c r="AG71" i="46"/>
  <c r="AG31" i="13" s="1"/>
  <c r="AH68" i="46"/>
  <c r="AH94" i="46" s="1"/>
  <c r="AH73" i="46"/>
  <c r="AH99" i="46" s="1"/>
  <c r="AH67" i="46"/>
  <c r="AH93" i="46" s="1"/>
  <c r="AH62" i="46"/>
  <c r="AH88" i="46" s="1"/>
  <c r="AH66" i="46"/>
  <c r="AH92" i="46" s="1"/>
  <c r="AH65" i="46"/>
  <c r="AH91" i="46" s="1"/>
  <c r="AH63" i="46"/>
  <c r="AH89" i="46" s="1"/>
  <c r="AH61" i="46"/>
  <c r="AH87" i="46" s="1"/>
  <c r="AH64" i="46"/>
  <c r="AH90" i="46" s="1"/>
  <c r="AH70" i="46"/>
  <c r="AH96" i="46" s="1"/>
  <c r="AH69" i="46"/>
  <c r="AH95" i="46" s="1"/>
  <c r="AH74" i="46"/>
  <c r="AH100" i="46" s="1"/>
  <c r="AK28" i="46"/>
  <c r="AK30" i="46"/>
  <c r="AK26" i="46"/>
  <c r="AK27" i="46"/>
  <c r="AK31" i="46"/>
  <c r="AK25" i="46"/>
  <c r="AK29" i="46"/>
  <c r="AK15" i="46"/>
  <c r="AK22" i="46"/>
  <c r="AK10" i="46"/>
  <c r="AK21" i="46"/>
  <c r="AK12" i="46"/>
  <c r="AK23" i="46"/>
  <c r="AK14" i="46"/>
  <c r="AK13" i="46"/>
  <c r="AK16" i="46"/>
  <c r="AK11" i="46"/>
  <c r="AK17" i="46"/>
  <c r="AK18" i="46"/>
  <c r="AK19" i="46"/>
  <c r="AG86" i="46"/>
  <c r="AG9" i="13" s="1"/>
  <c r="AG60" i="46"/>
  <c r="AG8" i="13" s="1"/>
  <c r="AJ9" i="46"/>
  <c r="AG101" i="46"/>
  <c r="BC37" i="45"/>
  <c r="BC42" i="45"/>
  <c r="BC39" i="45"/>
  <c r="BC52" i="45"/>
  <c r="BC38" i="45"/>
  <c r="BC51" i="45"/>
  <c r="BC49" i="45"/>
  <c r="BC48" i="45"/>
  <c r="BC36" i="45"/>
  <c r="BC40" i="45"/>
  <c r="BC50" i="45"/>
  <c r="BC47" i="45"/>
  <c r="BC41" i="45"/>
  <c r="BC44" i="45"/>
  <c r="BC45" i="45"/>
  <c r="AG97" i="46"/>
  <c r="AG32" i="13" s="1"/>
  <c r="AG75" i="46"/>
  <c r="AG39" i="13" s="1"/>
  <c r="AH76" i="46"/>
  <c r="AH102" i="46" s="1"/>
  <c r="AH82" i="46"/>
  <c r="AH108" i="46" s="1"/>
  <c r="AH80" i="46"/>
  <c r="AH106" i="46" s="1"/>
  <c r="AH78" i="46"/>
  <c r="AH104" i="46" s="1"/>
  <c r="AH81" i="46"/>
  <c r="AH107" i="46" s="1"/>
  <c r="AH79" i="46"/>
  <c r="AH105" i="46" s="1"/>
  <c r="AH77" i="46"/>
  <c r="AH103" i="46" s="1"/>
  <c r="AI49" i="46"/>
  <c r="AJ24" i="46"/>
  <c r="BD58" i="45"/>
  <c r="BD59" i="45"/>
  <c r="AK13" i="20"/>
  <c r="AO22" i="20"/>
  <c r="AB53" i="13"/>
  <c r="AE27" i="13"/>
  <c r="AH98" i="46"/>
  <c r="AJ20" i="46"/>
  <c r="AF27" i="13"/>
  <c r="AH13" i="49"/>
  <c r="AF11" i="49"/>
  <c r="AD14" i="29"/>
  <c r="AD18" i="29" s="1"/>
  <c r="AC14" i="29"/>
  <c r="AD62" i="13"/>
  <c r="AF22" i="25"/>
  <c r="AG26" i="13"/>
  <c r="AG63" i="13" s="1"/>
  <c r="AG9" i="25"/>
  <c r="AA15" i="25"/>
  <c r="AF83" i="46"/>
  <c r="AI52" i="46"/>
  <c r="AI54" i="46"/>
  <c r="AI51" i="46"/>
  <c r="AI53" i="46"/>
  <c r="AI56" i="46"/>
  <c r="AI55" i="46"/>
  <c r="AI57" i="46"/>
  <c r="AI41" i="46"/>
  <c r="AI40" i="46"/>
  <c r="AI42" i="46"/>
  <c r="AI43" i="46"/>
  <c r="AI45" i="46"/>
  <c r="AI44" i="46"/>
  <c r="AE12" i="19"/>
  <c r="AI19" i="33"/>
  <c r="AI16" i="33"/>
  <c r="AI13" i="48" s="1"/>
  <c r="AH22" i="33"/>
  <c r="AH25" i="33"/>
  <c r="AH28" i="33" s="1"/>
  <c r="AH12" i="48" s="1"/>
  <c r="AH10" i="48" s="1"/>
  <c r="AK3" i="33"/>
  <c r="AK13" i="33" s="1"/>
  <c r="AJ2" i="33"/>
  <c r="AI4" i="33"/>
  <c r="AJ15" i="33"/>
  <c r="AJ21" i="33" s="1"/>
  <c r="AJ27" i="33" s="1"/>
  <c r="AJ14" i="33"/>
  <c r="AJ20" i="33" s="1"/>
  <c r="AJ26" i="33" s="1"/>
  <c r="AJ1" i="33"/>
  <c r="AI37" i="46"/>
  <c r="AI39" i="46"/>
  <c r="AI36" i="46"/>
  <c r="AI38" i="46"/>
  <c r="AA13" i="19"/>
  <c r="O15" i="20"/>
  <c r="K17" i="29"/>
  <c r="AK3" i="11"/>
  <c r="AJ2" i="11"/>
  <c r="AI4" i="11"/>
  <c r="AJ1" i="11"/>
  <c r="AI32" i="46"/>
  <c r="AF109" i="46"/>
  <c r="AP4" i="20"/>
  <c r="AP21" i="20" s="1"/>
  <c r="AQ2" i="20"/>
  <c r="AQ1" i="20"/>
  <c r="AR3" i="20"/>
  <c r="AJ2" i="19"/>
  <c r="AK3" i="19"/>
  <c r="AJ1" i="19"/>
  <c r="AI4" i="19"/>
  <c r="AI2" i="25"/>
  <c r="AJ3" i="25"/>
  <c r="AH4" i="25"/>
  <c r="AI1" i="25"/>
  <c r="AK2" i="13"/>
  <c r="AL3" i="13"/>
  <c r="AJ4" i="13"/>
  <c r="AK1" i="13"/>
  <c r="AE40" i="13"/>
  <c r="AE109" i="46"/>
  <c r="AI47" i="46"/>
  <c r="AI72" i="46" s="1"/>
  <c r="AI48" i="46"/>
  <c r="AJ113" i="46"/>
  <c r="AJ112" i="46"/>
  <c r="AK2" i="46"/>
  <c r="AL3" i="46"/>
  <c r="AK1" i="46"/>
  <c r="AJ4" i="46"/>
  <c r="BE2" i="45"/>
  <c r="BF3" i="45"/>
  <c r="BE1" i="45"/>
  <c r="BD4" i="45"/>
  <c r="AM3" i="29"/>
  <c r="AL2" i="29"/>
  <c r="AK4" i="29"/>
  <c r="AL1" i="29"/>
  <c r="AF12" i="19"/>
  <c r="AK2" i="10"/>
  <c r="AL3" i="10"/>
  <c r="AJ4" i="10"/>
  <c r="AK1" i="10"/>
  <c r="BD21" i="45"/>
  <c r="BD20" i="45"/>
  <c r="AK3" i="24"/>
  <c r="AJ2" i="24"/>
  <c r="AJ1" i="24"/>
  <c r="AI4" i="24"/>
  <c r="AH21" i="49" l="1"/>
  <c r="AH10" i="49" s="1"/>
  <c r="AL21" i="13"/>
  <c r="AL23" i="13"/>
  <c r="AL25" i="13"/>
  <c r="AL22" i="13"/>
  <c r="AL20" i="13"/>
  <c r="AL24" i="13"/>
  <c r="AI58" i="13"/>
  <c r="AI19" i="49" s="1"/>
  <c r="AJ17" i="13"/>
  <c r="AJ16" i="11"/>
  <c r="AJ19" i="13"/>
  <c r="AJ18" i="11"/>
  <c r="AJ12" i="13"/>
  <c r="AJ11" i="11"/>
  <c r="AJ18" i="13"/>
  <c r="AJ17" i="11"/>
  <c r="AJ15" i="13"/>
  <c r="AJ14" i="11"/>
  <c r="AJ14" i="13"/>
  <c r="AJ13" i="11"/>
  <c r="AJ16" i="13"/>
  <c r="AJ15" i="11"/>
  <c r="AJ11" i="13"/>
  <c r="AJ10" i="11"/>
  <c r="AJ13" i="13"/>
  <c r="AJ12" i="11"/>
  <c r="BD29" i="45"/>
  <c r="BD28" i="45"/>
  <c r="BD33" i="45"/>
  <c r="BD26" i="45"/>
  <c r="BD25" i="45"/>
  <c r="BD30" i="45"/>
  <c r="BD27" i="45"/>
  <c r="BD34" i="45"/>
  <c r="BD32" i="45"/>
  <c r="BD31" i="45"/>
  <c r="AL8" i="10"/>
  <c r="AL9" i="10"/>
  <c r="AL14" i="10"/>
  <c r="AL11" i="10"/>
  <c r="AL16" i="10"/>
  <c r="AL13" i="10"/>
  <c r="AL12" i="10"/>
  <c r="AL15" i="10"/>
  <c r="AL17" i="10"/>
  <c r="AL10" i="10"/>
  <c r="AJ10" i="13"/>
  <c r="AJ9" i="11"/>
  <c r="BD14" i="45"/>
  <c r="BD12" i="45"/>
  <c r="BD11" i="45"/>
  <c r="BD16" i="45"/>
  <c r="BD10" i="45"/>
  <c r="BD17" i="45"/>
  <c r="BD15" i="45"/>
  <c r="BD13" i="45"/>
  <c r="BD9" i="45"/>
  <c r="AL47" i="13"/>
  <c r="AL42" i="13"/>
  <c r="AL45" i="13"/>
  <c r="AL49" i="13"/>
  <c r="AL41" i="13"/>
  <c r="AL46" i="13"/>
  <c r="AL44" i="13"/>
  <c r="AL43" i="13"/>
  <c r="AL48" i="13"/>
  <c r="AI19" i="11"/>
  <c r="AK8" i="29" s="1"/>
  <c r="AI59" i="13"/>
  <c r="AI20" i="49" s="1"/>
  <c r="AE57" i="13"/>
  <c r="AE29" i="49" s="1"/>
  <c r="AE30" i="49" s="1"/>
  <c r="AE50" i="13"/>
  <c r="AE62" i="13" s="1"/>
  <c r="BD55" i="45"/>
  <c r="BD54" i="45"/>
  <c r="BD53" i="45"/>
  <c r="BD8" i="45"/>
  <c r="AG35" i="13"/>
  <c r="AG36" i="13" s="1"/>
  <c r="AF12" i="25" s="1"/>
  <c r="AK60" i="13"/>
  <c r="AL33" i="13"/>
  <c r="AL34" i="13"/>
  <c r="AG56" i="13"/>
  <c r="AK61" i="13"/>
  <c r="AE28" i="13"/>
  <c r="AD10" i="25" s="1"/>
  <c r="AD11" i="25" s="1"/>
  <c r="AH71" i="46"/>
  <c r="AH31" i="13" s="1"/>
  <c r="AI64" i="46"/>
  <c r="AI90" i="46" s="1"/>
  <c r="AI67" i="46"/>
  <c r="AI93" i="46" s="1"/>
  <c r="AI73" i="46"/>
  <c r="AI99" i="46" s="1"/>
  <c r="AI69" i="46"/>
  <c r="AI95" i="46" s="1"/>
  <c r="AI61" i="46"/>
  <c r="AI87" i="46" s="1"/>
  <c r="AI68" i="46"/>
  <c r="AI94" i="46" s="1"/>
  <c r="AI62" i="46"/>
  <c r="AI88" i="46" s="1"/>
  <c r="AI65" i="46"/>
  <c r="AI91" i="46" s="1"/>
  <c r="AI66" i="46"/>
  <c r="AI92" i="46" s="1"/>
  <c r="AI74" i="46"/>
  <c r="AI100" i="46" s="1"/>
  <c r="AI63" i="46"/>
  <c r="AI89" i="46" s="1"/>
  <c r="AI70" i="46"/>
  <c r="AI96" i="46" s="1"/>
  <c r="AL25" i="46"/>
  <c r="AL29" i="46"/>
  <c r="AL26" i="46"/>
  <c r="AL28" i="46"/>
  <c r="AL30" i="46"/>
  <c r="AL27" i="46"/>
  <c r="AL31" i="46"/>
  <c r="AL23" i="46"/>
  <c r="AL11" i="46"/>
  <c r="AL13" i="46"/>
  <c r="AL16" i="46"/>
  <c r="AL22" i="46"/>
  <c r="AL10" i="46"/>
  <c r="AL21" i="46"/>
  <c r="AL12" i="46"/>
  <c r="AL19" i="46"/>
  <c r="AL15" i="46"/>
  <c r="AL14" i="46"/>
  <c r="AL17" i="46"/>
  <c r="AL18" i="46"/>
  <c r="AH86" i="46"/>
  <c r="AH9" i="13" s="1"/>
  <c r="AH60" i="46"/>
  <c r="AH8" i="13" s="1"/>
  <c r="AK9" i="46"/>
  <c r="AH101" i="46"/>
  <c r="BD48" i="45"/>
  <c r="BD42" i="45"/>
  <c r="BD36" i="45"/>
  <c r="BD38" i="45"/>
  <c r="BD51" i="45"/>
  <c r="BD49" i="45"/>
  <c r="BD39" i="45"/>
  <c r="BD52" i="45"/>
  <c r="BD41" i="45"/>
  <c r="BD40" i="45"/>
  <c r="BD37" i="45"/>
  <c r="BD45" i="45"/>
  <c r="BD44" i="45"/>
  <c r="BD47" i="45"/>
  <c r="BD50" i="45"/>
  <c r="AH97" i="46"/>
  <c r="AH32" i="13" s="1"/>
  <c r="AI76" i="46"/>
  <c r="AI102" i="46" s="1"/>
  <c r="AI79" i="46"/>
  <c r="AI105" i="46" s="1"/>
  <c r="AI82" i="46"/>
  <c r="AI108" i="46" s="1"/>
  <c r="AI77" i="46"/>
  <c r="AI103" i="46" s="1"/>
  <c r="AI80" i="46"/>
  <c r="AI106" i="46" s="1"/>
  <c r="AI81" i="46"/>
  <c r="AI107" i="46" s="1"/>
  <c r="AI78" i="46"/>
  <c r="AI104" i="46" s="1"/>
  <c r="AH75" i="46"/>
  <c r="AH39" i="13" s="1"/>
  <c r="AJ49" i="46"/>
  <c r="AK24" i="46"/>
  <c r="BE58" i="45"/>
  <c r="BE59" i="45"/>
  <c r="AP22" i="20"/>
  <c r="AM13" i="20"/>
  <c r="AL13" i="20"/>
  <c r="AH14" i="20"/>
  <c r="AI26" i="49"/>
  <c r="AI11" i="49" s="1"/>
  <c r="AD51" i="13"/>
  <c r="AC13" i="25" s="1"/>
  <c r="AC14" i="25" s="1"/>
  <c r="AC17" i="25" s="1"/>
  <c r="AC23" i="25" s="1"/>
  <c r="AF28" i="13"/>
  <c r="AE10" i="25" s="1"/>
  <c r="AE11" i="25" s="1"/>
  <c r="AI98" i="46"/>
  <c r="AG27" i="13"/>
  <c r="AK20" i="46"/>
  <c r="AC13" i="19"/>
  <c r="AI13" i="49"/>
  <c r="AI18" i="48" s="1"/>
  <c r="AH26" i="49"/>
  <c r="AF9" i="49"/>
  <c r="AH18" i="48"/>
  <c r="AC18" i="29"/>
  <c r="AB13" i="19"/>
  <c r="AG22" i="25"/>
  <c r="AH26" i="13"/>
  <c r="AH63" i="13" s="1"/>
  <c r="K20" i="29"/>
  <c r="J17" i="48" s="1"/>
  <c r="K21" i="29"/>
  <c r="AH9" i="25"/>
  <c r="AJ51" i="46"/>
  <c r="AJ53" i="46"/>
  <c r="AJ52" i="46"/>
  <c r="AJ54" i="46"/>
  <c r="AJ55" i="46"/>
  <c r="AJ57" i="46"/>
  <c r="AJ56" i="46"/>
  <c r="AJ40" i="46"/>
  <c r="AJ42" i="46"/>
  <c r="AJ41" i="46"/>
  <c r="AJ44" i="46"/>
  <c r="AJ43" i="46"/>
  <c r="AJ45" i="46"/>
  <c r="AF40" i="13"/>
  <c r="AG83" i="46"/>
  <c r="AL3" i="33"/>
  <c r="AL13" i="33" s="1"/>
  <c r="AK14" i="33"/>
  <c r="AK20" i="33" s="1"/>
  <c r="AK26" i="33" s="1"/>
  <c r="AK2" i="33"/>
  <c r="AJ4" i="33"/>
  <c r="AK15" i="33"/>
  <c r="AK21" i="33" s="1"/>
  <c r="AK27" i="33" s="1"/>
  <c r="AK1" i="33"/>
  <c r="AJ19" i="33"/>
  <c r="AJ16" i="33"/>
  <c r="AJ13" i="48" s="1"/>
  <c r="AI25" i="33"/>
  <c r="AI28" i="33" s="1"/>
  <c r="AI12" i="48" s="1"/>
  <c r="AI22" i="33"/>
  <c r="AJ36" i="46"/>
  <c r="AJ38" i="46"/>
  <c r="AJ37" i="46"/>
  <c r="AJ39" i="46"/>
  <c r="I14" i="19"/>
  <c r="AH9" i="29"/>
  <c r="AH19" i="29" s="1"/>
  <c r="AL3" i="11"/>
  <c r="AJ4" i="11"/>
  <c r="AK1" i="11"/>
  <c r="AK2" i="11"/>
  <c r="AQ4" i="20"/>
  <c r="AQ21" i="20" s="1"/>
  <c r="AR1" i="20"/>
  <c r="AR2" i="20"/>
  <c r="AS3" i="20"/>
  <c r="AJ32" i="46"/>
  <c r="AG109" i="46"/>
  <c r="AK2" i="19"/>
  <c r="AL3" i="19"/>
  <c r="AJ4" i="19"/>
  <c r="AK1" i="19"/>
  <c r="AK112" i="46"/>
  <c r="AK113" i="46"/>
  <c r="AL2" i="13"/>
  <c r="AM3" i="13"/>
  <c r="AK4" i="13"/>
  <c r="AL1" i="13"/>
  <c r="AJ2" i="25"/>
  <c r="AK3" i="25"/>
  <c r="AJ1" i="25"/>
  <c r="AI4" i="25"/>
  <c r="AM3" i="46"/>
  <c r="AK4" i="46"/>
  <c r="AL1" i="46"/>
  <c r="AL2" i="46"/>
  <c r="AJ47" i="46"/>
  <c r="AJ72" i="46" s="1"/>
  <c r="AJ48" i="46"/>
  <c r="AK2" i="24"/>
  <c r="AL3" i="24"/>
  <c r="AJ4" i="24"/>
  <c r="AK1" i="24"/>
  <c r="AL2" i="10"/>
  <c r="AK4" i="10"/>
  <c r="AM3" i="10"/>
  <c r="AL1" i="10"/>
  <c r="BF2" i="45"/>
  <c r="BG3" i="45"/>
  <c r="BE4" i="45"/>
  <c r="BF1" i="45"/>
  <c r="AM2" i="29"/>
  <c r="AN3" i="29"/>
  <c r="AM1" i="29"/>
  <c r="AL4" i="29"/>
  <c r="BE21" i="45"/>
  <c r="BE20" i="45"/>
  <c r="AJ58" i="13" l="1"/>
  <c r="AJ19" i="49" s="1"/>
  <c r="AM20" i="13"/>
  <c r="AM22" i="13"/>
  <c r="AM24" i="13"/>
  <c r="AM25" i="13"/>
  <c r="AM23" i="13"/>
  <c r="AM21" i="13"/>
  <c r="AI21" i="49"/>
  <c r="AI10" i="49" s="1"/>
  <c r="AI9" i="49" s="1"/>
  <c r="AI16" i="48" s="1"/>
  <c r="AK17" i="13"/>
  <c r="AK16" i="11"/>
  <c r="AK14" i="13"/>
  <c r="AK13" i="11"/>
  <c r="AK12" i="13"/>
  <c r="AK11" i="11"/>
  <c r="AK15" i="13"/>
  <c r="AK14" i="11"/>
  <c r="AK18" i="13"/>
  <c r="AK17" i="11"/>
  <c r="AK13" i="13"/>
  <c r="AK12" i="11"/>
  <c r="AK16" i="13"/>
  <c r="AK15" i="11"/>
  <c r="AK11" i="13"/>
  <c r="AK10" i="11"/>
  <c r="AK10" i="13"/>
  <c r="AK9" i="11"/>
  <c r="BE33" i="45"/>
  <c r="BE29" i="45"/>
  <c r="BE26" i="45"/>
  <c r="BE25" i="45"/>
  <c r="BE30" i="45"/>
  <c r="BE27" i="45"/>
  <c r="BE34" i="45"/>
  <c r="BE28" i="45"/>
  <c r="BE32" i="45"/>
  <c r="BE31" i="45"/>
  <c r="AK19" i="13"/>
  <c r="AK18" i="11"/>
  <c r="AM15" i="10"/>
  <c r="AM12" i="10"/>
  <c r="AM17" i="10"/>
  <c r="AM11" i="10"/>
  <c r="AM9" i="10"/>
  <c r="AM14" i="10"/>
  <c r="AM8" i="10"/>
  <c r="AM13" i="10"/>
  <c r="AM16" i="10"/>
  <c r="AM10" i="10"/>
  <c r="BE11" i="45"/>
  <c r="BE13" i="45"/>
  <c r="BE12" i="45"/>
  <c r="BE15" i="45"/>
  <c r="BE17" i="45"/>
  <c r="BE14" i="45"/>
  <c r="BE10" i="45"/>
  <c r="BE16" i="45"/>
  <c r="BE9" i="45"/>
  <c r="AM44" i="13"/>
  <c r="AM47" i="13"/>
  <c r="AM42" i="13"/>
  <c r="AM43" i="13"/>
  <c r="AM48" i="13"/>
  <c r="AM45" i="13"/>
  <c r="AM49" i="13"/>
  <c r="AM46" i="13"/>
  <c r="AM41" i="13"/>
  <c r="AJ59" i="13"/>
  <c r="AJ20" i="49" s="1"/>
  <c r="AJ19" i="11"/>
  <c r="AL8" i="29" s="1"/>
  <c r="AF57" i="13"/>
  <c r="AF29" i="49" s="1"/>
  <c r="AF30" i="49" s="1"/>
  <c r="AF50" i="13"/>
  <c r="AF62" i="13" s="1"/>
  <c r="BE54" i="45"/>
  <c r="BE55" i="45"/>
  <c r="BE53" i="45"/>
  <c r="AI71" i="46"/>
  <c r="AI31" i="13" s="1"/>
  <c r="BE8" i="45"/>
  <c r="AC15" i="25"/>
  <c r="AH35" i="13"/>
  <c r="AH36" i="13" s="1"/>
  <c r="AG12" i="25" s="1"/>
  <c r="AH56" i="13"/>
  <c r="AM33" i="13"/>
  <c r="AM34" i="13"/>
  <c r="AL60" i="13"/>
  <c r="AL61" i="13"/>
  <c r="AJ70" i="46"/>
  <c r="AJ96" i="46" s="1"/>
  <c r="AJ63" i="46"/>
  <c r="AJ89" i="46" s="1"/>
  <c r="AJ69" i="46"/>
  <c r="AJ95" i="46" s="1"/>
  <c r="AJ73" i="46"/>
  <c r="AJ99" i="46" s="1"/>
  <c r="AJ61" i="46"/>
  <c r="AJ87" i="46" s="1"/>
  <c r="AJ66" i="46"/>
  <c r="AJ92" i="46" s="1"/>
  <c r="AJ67" i="46"/>
  <c r="AJ93" i="46" s="1"/>
  <c r="AJ74" i="46"/>
  <c r="AJ100" i="46" s="1"/>
  <c r="AJ65" i="46"/>
  <c r="AJ91" i="46" s="1"/>
  <c r="AJ64" i="46"/>
  <c r="AJ90" i="46" s="1"/>
  <c r="AJ62" i="46"/>
  <c r="AJ88" i="46" s="1"/>
  <c r="AJ68" i="46"/>
  <c r="AJ94" i="46" s="1"/>
  <c r="AM26" i="46"/>
  <c r="AM25" i="46"/>
  <c r="AM30" i="46"/>
  <c r="AM27" i="46"/>
  <c r="AM29" i="46"/>
  <c r="AM31" i="46"/>
  <c r="AM28" i="46"/>
  <c r="AM17" i="46"/>
  <c r="AM10" i="46"/>
  <c r="AM18" i="46"/>
  <c r="AM19" i="46"/>
  <c r="AM16" i="46"/>
  <c r="AM12" i="46"/>
  <c r="AM13" i="46"/>
  <c r="AM15" i="46"/>
  <c r="AM11" i="46"/>
  <c r="AM14" i="46"/>
  <c r="AM22" i="46"/>
  <c r="AM23" i="46"/>
  <c r="AM21" i="46"/>
  <c r="AI60" i="46"/>
  <c r="AI8" i="13" s="1"/>
  <c r="AI86" i="46"/>
  <c r="AL9" i="46"/>
  <c r="AI101" i="46"/>
  <c r="BE42" i="45"/>
  <c r="BE48" i="45"/>
  <c r="BE36" i="45"/>
  <c r="BE41" i="45"/>
  <c r="BE51" i="45"/>
  <c r="BE37" i="45"/>
  <c r="BE40" i="45"/>
  <c r="BE45" i="45"/>
  <c r="BE52" i="45"/>
  <c r="BE47" i="45"/>
  <c r="BE39" i="45"/>
  <c r="BE49" i="45"/>
  <c r="BE44" i="45"/>
  <c r="BE38" i="45"/>
  <c r="BE50" i="45"/>
  <c r="AI97" i="46"/>
  <c r="AI32" i="13" s="1"/>
  <c r="AJ79" i="46"/>
  <c r="AJ105" i="46" s="1"/>
  <c r="AJ78" i="46"/>
  <c r="AJ104" i="46" s="1"/>
  <c r="AI75" i="46"/>
  <c r="AI39" i="13" s="1"/>
  <c r="AJ81" i="46"/>
  <c r="AJ107" i="46" s="1"/>
  <c r="AJ76" i="46"/>
  <c r="AJ102" i="46" s="1"/>
  <c r="AJ82" i="46"/>
  <c r="AJ108" i="46" s="1"/>
  <c r="AJ80" i="46"/>
  <c r="AJ106" i="46" s="1"/>
  <c r="AJ77" i="46"/>
  <c r="AJ103" i="46" s="1"/>
  <c r="AK49" i="46"/>
  <c r="AL24" i="46"/>
  <c r="AQ22" i="20"/>
  <c r="BF58" i="45"/>
  <c r="BF59" i="45"/>
  <c r="AJ14" i="20"/>
  <c r="AI14" i="20"/>
  <c r="AD64" i="13"/>
  <c r="AE13" i="29" s="1"/>
  <c r="AD53" i="13"/>
  <c r="AE51" i="13"/>
  <c r="AD13" i="25" s="1"/>
  <c r="AD14" i="25" s="1"/>
  <c r="AE64" i="13"/>
  <c r="AF13" i="29" s="1"/>
  <c r="AG28" i="13"/>
  <c r="AF10" i="25" s="1"/>
  <c r="AF11" i="25" s="1"/>
  <c r="AJ98" i="46"/>
  <c r="AH27" i="13"/>
  <c r="AI10" i="48"/>
  <c r="AL20" i="46"/>
  <c r="AJ13" i="49"/>
  <c r="L17" i="29"/>
  <c r="L20" i="29" s="1"/>
  <c r="AF16" i="48"/>
  <c r="AH11" i="49"/>
  <c r="AI9" i="25"/>
  <c r="P15" i="20"/>
  <c r="AH22" i="25"/>
  <c r="AI26" i="13"/>
  <c r="AI63" i="13" s="1"/>
  <c r="AK52" i="46"/>
  <c r="AK54" i="46"/>
  <c r="AK51" i="46"/>
  <c r="AK53" i="46"/>
  <c r="AK56" i="46"/>
  <c r="AK55" i="46"/>
  <c r="AK57" i="46"/>
  <c r="AK41" i="46"/>
  <c r="AK40" i="46"/>
  <c r="AK42" i="46"/>
  <c r="AK43" i="46"/>
  <c r="AK45" i="46"/>
  <c r="AK44" i="46"/>
  <c r="AI9" i="29"/>
  <c r="J14" i="19"/>
  <c r="AJ22" i="33"/>
  <c r="AJ25" i="33"/>
  <c r="AJ28" i="33" s="1"/>
  <c r="AJ12" i="48" s="1"/>
  <c r="AJ10" i="48" s="1"/>
  <c r="AK16" i="33"/>
  <c r="AK13" i="48" s="1"/>
  <c r="AK19" i="33"/>
  <c r="AL15" i="33"/>
  <c r="AL21" i="33" s="1"/>
  <c r="AL27" i="33" s="1"/>
  <c r="AL14" i="33"/>
  <c r="AL20" i="33" s="1"/>
  <c r="AL26" i="33" s="1"/>
  <c r="AL1" i="33"/>
  <c r="AM3" i="33"/>
  <c r="AM13" i="33" s="1"/>
  <c r="AL2" i="33"/>
  <c r="AK4" i="33"/>
  <c r="AJ9" i="29"/>
  <c r="AJ19" i="29" s="1"/>
  <c r="AK37" i="46"/>
  <c r="AK39" i="46"/>
  <c r="AK36" i="46"/>
  <c r="AK38" i="46"/>
  <c r="AG12" i="19"/>
  <c r="AH83" i="46"/>
  <c r="AM3" i="11"/>
  <c r="AL2" i="11"/>
  <c r="AL1" i="11"/>
  <c r="AK4" i="11"/>
  <c r="AG40" i="13"/>
  <c r="AS2" i="20"/>
  <c r="AR4" i="20"/>
  <c r="AR21" i="20" s="1"/>
  <c r="AT3" i="20"/>
  <c r="AS1" i="20"/>
  <c r="AL2" i="19"/>
  <c r="AM3" i="19"/>
  <c r="AK4" i="19"/>
  <c r="AL1" i="19"/>
  <c r="AM2" i="46"/>
  <c r="AN3" i="46"/>
  <c r="AL4" i="46"/>
  <c r="AM1" i="46"/>
  <c r="AK2" i="25"/>
  <c r="AL3" i="25"/>
  <c r="AJ4" i="25"/>
  <c r="AK1" i="25"/>
  <c r="AM2" i="13"/>
  <c r="AN3" i="13"/>
  <c r="AL4" i="13"/>
  <c r="AM1" i="13"/>
  <c r="AK47" i="46"/>
  <c r="AK72" i="46" s="1"/>
  <c r="AK48" i="46"/>
  <c r="AL112" i="46"/>
  <c r="AL113" i="46"/>
  <c r="AK32" i="46"/>
  <c r="BF21" i="45"/>
  <c r="BF20" i="45"/>
  <c r="AM2" i="10"/>
  <c r="AL4" i="10"/>
  <c r="AN3" i="10"/>
  <c r="AM1" i="10"/>
  <c r="AO3" i="29"/>
  <c r="AN2" i="29"/>
  <c r="AM4" i="29"/>
  <c r="AN1" i="29"/>
  <c r="BG2" i="45"/>
  <c r="BH3" i="45"/>
  <c r="BF4" i="45"/>
  <c r="BG1" i="45"/>
  <c r="AM3" i="24"/>
  <c r="AL2" i="24"/>
  <c r="AL1" i="24"/>
  <c r="AK4" i="24"/>
  <c r="AJ21" i="49" l="1"/>
  <c r="AJ10" i="49" s="1"/>
  <c r="AN20" i="13"/>
  <c r="AN22" i="13"/>
  <c r="AN24" i="13"/>
  <c r="AN25" i="13"/>
  <c r="AN21" i="13"/>
  <c r="AN23" i="13"/>
  <c r="AK58" i="13"/>
  <c r="AK19" i="49" s="1"/>
  <c r="AD17" i="25"/>
  <c r="AD23" i="25" s="1"/>
  <c r="AL15" i="13"/>
  <c r="AL14" i="11"/>
  <c r="AL10" i="13"/>
  <c r="AL9" i="11"/>
  <c r="AL11" i="13"/>
  <c r="AL10" i="11"/>
  <c r="AL13" i="13"/>
  <c r="AL12" i="11"/>
  <c r="AL19" i="13"/>
  <c r="AL18" i="11"/>
  <c r="AL14" i="13"/>
  <c r="AL13" i="11"/>
  <c r="AL17" i="13"/>
  <c r="AL16" i="11"/>
  <c r="BF28" i="45"/>
  <c r="BF30" i="45"/>
  <c r="BF29" i="45"/>
  <c r="BF27" i="45"/>
  <c r="BF26" i="45"/>
  <c r="BF31" i="45"/>
  <c r="BF25" i="45"/>
  <c r="BF34" i="45"/>
  <c r="BF33" i="45"/>
  <c r="BF32" i="45"/>
  <c r="AL18" i="13"/>
  <c r="AL17" i="11"/>
  <c r="AL16" i="13"/>
  <c r="AL15" i="11"/>
  <c r="AN12" i="10"/>
  <c r="AN15" i="10"/>
  <c r="AN17" i="10"/>
  <c r="AN11" i="10"/>
  <c r="AN9" i="10"/>
  <c r="AN14" i="10"/>
  <c r="AN13" i="10"/>
  <c r="AN8" i="10"/>
  <c r="AN16" i="10"/>
  <c r="AN10" i="10"/>
  <c r="AL12" i="13"/>
  <c r="AL11" i="11"/>
  <c r="BF10" i="45"/>
  <c r="BF14" i="45"/>
  <c r="BF17" i="45"/>
  <c r="BF11" i="45"/>
  <c r="BF16" i="45"/>
  <c r="BF15" i="45"/>
  <c r="BF12" i="45"/>
  <c r="BF13" i="45"/>
  <c r="BF9" i="45"/>
  <c r="AN41" i="13"/>
  <c r="AN49" i="13"/>
  <c r="AN44" i="13"/>
  <c r="AN47" i="13"/>
  <c r="AN46" i="13"/>
  <c r="AN43" i="13"/>
  <c r="AN48" i="13"/>
  <c r="AN45" i="13"/>
  <c r="AN42" i="13"/>
  <c r="AK19" i="11"/>
  <c r="AM8" i="29" s="1"/>
  <c r="AK59" i="13"/>
  <c r="AK20" i="49" s="1"/>
  <c r="BF54" i="45"/>
  <c r="BF55" i="45"/>
  <c r="BF53" i="45"/>
  <c r="AG57" i="13"/>
  <c r="AG29" i="49" s="1"/>
  <c r="AG30" i="49" s="1"/>
  <c r="AG50" i="13"/>
  <c r="AG62" i="13" s="1"/>
  <c r="AI35" i="13"/>
  <c r="AI36" i="13" s="1"/>
  <c r="AH12" i="25" s="1"/>
  <c r="BF8" i="45"/>
  <c r="AM61" i="13"/>
  <c r="AI56" i="13"/>
  <c r="AN33" i="13"/>
  <c r="AN34" i="13"/>
  <c r="AM60" i="13"/>
  <c r="AJ71" i="46"/>
  <c r="AJ31" i="13" s="1"/>
  <c r="AK64" i="46"/>
  <c r="AK90" i="46" s="1"/>
  <c r="AK74" i="46"/>
  <c r="AK100" i="46" s="1"/>
  <c r="AK61" i="46"/>
  <c r="AK87" i="46" s="1"/>
  <c r="AK69" i="46"/>
  <c r="AK95" i="46" s="1"/>
  <c r="AK62" i="46"/>
  <c r="AK88" i="46" s="1"/>
  <c r="AK68" i="46"/>
  <c r="AK94" i="46" s="1"/>
  <c r="AK65" i="46"/>
  <c r="AK91" i="46" s="1"/>
  <c r="AK73" i="46"/>
  <c r="AK99" i="46" s="1"/>
  <c r="AK66" i="46"/>
  <c r="AK92" i="46" s="1"/>
  <c r="AK70" i="46"/>
  <c r="AK96" i="46" s="1"/>
  <c r="AK67" i="46"/>
  <c r="AK93" i="46" s="1"/>
  <c r="AK63" i="46"/>
  <c r="AK89" i="46" s="1"/>
  <c r="AN27" i="46"/>
  <c r="AN26" i="46"/>
  <c r="AN29" i="46"/>
  <c r="AN31" i="46"/>
  <c r="AN25" i="46"/>
  <c r="AN28" i="46"/>
  <c r="AN30" i="46"/>
  <c r="AN18" i="46"/>
  <c r="AN11" i="46"/>
  <c r="AN16" i="46"/>
  <c r="AN21" i="46"/>
  <c r="AN19" i="46"/>
  <c r="AN17" i="46"/>
  <c r="AN23" i="46"/>
  <c r="AN10" i="46"/>
  <c r="AN14" i="46"/>
  <c r="AN12" i="46"/>
  <c r="AN22" i="46"/>
  <c r="AN13" i="46"/>
  <c r="AN15" i="46"/>
  <c r="AJ60" i="46"/>
  <c r="AJ8" i="13" s="1"/>
  <c r="AJ86" i="46"/>
  <c r="AM9" i="46"/>
  <c r="AJ101" i="46"/>
  <c r="BF49" i="45"/>
  <c r="BF45" i="45"/>
  <c r="BF52" i="45"/>
  <c r="BF38" i="45"/>
  <c r="BF44" i="45"/>
  <c r="BF40" i="45"/>
  <c r="BF41" i="45"/>
  <c r="BF50" i="45"/>
  <c r="BF39" i="45"/>
  <c r="BF48" i="45"/>
  <c r="BF51" i="45"/>
  <c r="BF42" i="45"/>
  <c r="BF36" i="45"/>
  <c r="BF37" i="45"/>
  <c r="BF47" i="45"/>
  <c r="AJ97" i="46"/>
  <c r="AJ32" i="13" s="1"/>
  <c r="AK80" i="46"/>
  <c r="AK106" i="46" s="1"/>
  <c r="AK81" i="46"/>
  <c r="AK107" i="46" s="1"/>
  <c r="AK76" i="46"/>
  <c r="AK102" i="46" s="1"/>
  <c r="AK78" i="46"/>
  <c r="AK104" i="46" s="1"/>
  <c r="AK79" i="46"/>
  <c r="AK105" i="46" s="1"/>
  <c r="AJ75" i="46"/>
  <c r="AJ39" i="13" s="1"/>
  <c r="AK82" i="46"/>
  <c r="AK108" i="46" s="1"/>
  <c r="AK77" i="46"/>
  <c r="AK103" i="46" s="1"/>
  <c r="AR22" i="20"/>
  <c r="AL49" i="46"/>
  <c r="AM24" i="46"/>
  <c r="BG58" i="45"/>
  <c r="BG59" i="45"/>
  <c r="AN13" i="20"/>
  <c r="AK26" i="49"/>
  <c r="AK11" i="49" s="1"/>
  <c r="AE14" i="29"/>
  <c r="AF51" i="13"/>
  <c r="AF64" i="13"/>
  <c r="AG13" i="29" s="1"/>
  <c r="AE53" i="13"/>
  <c r="AH28" i="13"/>
  <c r="AG10" i="25" s="1"/>
  <c r="AG11" i="25" s="1"/>
  <c r="AI9" i="13"/>
  <c r="AK98" i="46"/>
  <c r="AM20" i="46"/>
  <c r="L21" i="29"/>
  <c r="K17" i="48"/>
  <c r="M17" i="29"/>
  <c r="M20" i="29" s="1"/>
  <c r="L17" i="48" s="1"/>
  <c r="AH9" i="49"/>
  <c r="AJ26" i="49"/>
  <c r="AK13" i="49"/>
  <c r="AK18" i="48" s="1"/>
  <c r="AJ18" i="48"/>
  <c r="AF14" i="29"/>
  <c r="AI22" i="25"/>
  <c r="AJ26" i="13"/>
  <c r="AJ63" i="13" s="1"/>
  <c r="AJ9" i="25"/>
  <c r="AD15" i="25"/>
  <c r="AH12" i="19"/>
  <c r="AI19" i="29"/>
  <c r="AL51" i="46"/>
  <c r="AL53" i="46"/>
  <c r="AL52" i="46"/>
  <c r="AL54" i="46"/>
  <c r="AL55" i="46"/>
  <c r="AL57" i="46"/>
  <c r="AL56" i="46"/>
  <c r="AL40" i="46"/>
  <c r="AL42" i="46"/>
  <c r="AL41" i="46"/>
  <c r="AL44" i="46"/>
  <c r="AL43" i="46"/>
  <c r="AL45" i="46"/>
  <c r="Q15" i="20"/>
  <c r="AL16" i="33"/>
  <c r="AL13" i="48" s="1"/>
  <c r="BN13" i="48" s="1"/>
  <c r="AL19" i="33"/>
  <c r="AK25" i="33"/>
  <c r="AK28" i="33" s="1"/>
  <c r="AK12" i="48" s="1"/>
  <c r="AK10" i="48" s="1"/>
  <c r="AK22" i="33"/>
  <c r="AM14" i="33"/>
  <c r="AM20" i="33" s="1"/>
  <c r="AM26" i="33" s="1"/>
  <c r="AM2" i="33"/>
  <c r="AL4" i="33"/>
  <c r="AN3" i="33"/>
  <c r="AN13" i="33" s="1"/>
  <c r="AM15" i="33"/>
  <c r="AM21" i="33" s="1"/>
  <c r="AM27" i="33" s="1"/>
  <c r="AM1" i="33"/>
  <c r="AL36" i="46"/>
  <c r="AL38" i="46"/>
  <c r="AL37" i="46"/>
  <c r="AL39" i="46"/>
  <c r="AI83" i="46"/>
  <c r="AI40" i="13"/>
  <c r="AI50" i="13" s="1"/>
  <c r="AN3" i="11"/>
  <c r="AL4" i="11"/>
  <c r="AM2" i="11"/>
  <c r="AM1" i="11"/>
  <c r="AT1" i="20"/>
  <c r="AS4" i="20"/>
  <c r="AS21" i="20" s="1"/>
  <c r="AU3" i="20"/>
  <c r="AT2" i="20"/>
  <c r="AM2" i="19"/>
  <c r="AN3" i="19"/>
  <c r="AL4" i="19"/>
  <c r="AM1" i="19"/>
  <c r="AL47" i="46"/>
  <c r="AL72" i="46" s="1"/>
  <c r="AL48" i="46"/>
  <c r="AN2" i="46"/>
  <c r="AO3" i="46"/>
  <c r="AM4" i="46"/>
  <c r="AN1" i="46"/>
  <c r="AM112" i="46"/>
  <c r="AM113" i="46"/>
  <c r="AH40" i="13"/>
  <c r="AH50" i="13" s="1"/>
  <c r="AH109" i="46"/>
  <c r="AN2" i="13"/>
  <c r="AO3" i="13"/>
  <c r="AM4" i="13"/>
  <c r="AN1" i="13"/>
  <c r="AL2" i="25"/>
  <c r="AM3" i="25"/>
  <c r="AL1" i="25"/>
  <c r="AK4" i="25"/>
  <c r="AL32" i="46"/>
  <c r="AM2" i="24"/>
  <c r="AN3" i="24"/>
  <c r="AL4" i="24"/>
  <c r="AM1" i="24"/>
  <c r="BG21" i="45"/>
  <c r="BG20" i="45"/>
  <c r="AO2" i="29"/>
  <c r="AP3" i="29"/>
  <c r="AO1" i="29"/>
  <c r="AN4" i="29"/>
  <c r="AI12" i="19"/>
  <c r="BH2" i="45"/>
  <c r="BI3" i="45"/>
  <c r="BG4" i="45"/>
  <c r="BH1" i="45"/>
  <c r="AN2" i="10"/>
  <c r="AM4" i="10"/>
  <c r="AO3" i="10"/>
  <c r="AN1" i="10"/>
  <c r="AK21" i="49" l="1"/>
  <c r="AK10" i="49" s="1"/>
  <c r="AL58" i="13"/>
  <c r="AL19" i="49" s="1"/>
  <c r="AO20" i="13"/>
  <c r="AO22" i="13"/>
  <c r="AO24" i="13"/>
  <c r="AO21" i="13"/>
  <c r="AO23" i="13"/>
  <c r="AO25" i="13"/>
  <c r="AM15" i="13"/>
  <c r="AM14" i="11"/>
  <c r="AM16" i="13"/>
  <c r="AM15" i="11"/>
  <c r="AM11" i="13"/>
  <c r="AM10" i="11"/>
  <c r="BG25" i="45"/>
  <c r="BG28" i="45"/>
  <c r="BG30" i="45"/>
  <c r="BG32" i="45"/>
  <c r="BG29" i="45"/>
  <c r="BG33" i="45"/>
  <c r="BG27" i="45"/>
  <c r="BG26" i="45"/>
  <c r="BG31" i="45"/>
  <c r="BG34" i="45"/>
  <c r="AM13" i="13"/>
  <c r="AM12" i="11"/>
  <c r="AM19" i="13"/>
  <c r="AM18" i="11"/>
  <c r="AM17" i="13"/>
  <c r="AM16" i="11"/>
  <c r="AM14" i="13"/>
  <c r="AM13" i="11"/>
  <c r="AM12" i="13"/>
  <c r="AM11" i="11"/>
  <c r="AM18" i="13"/>
  <c r="AM17" i="11"/>
  <c r="AM10" i="13"/>
  <c r="AM9" i="11"/>
  <c r="AO9" i="10"/>
  <c r="AO12" i="10"/>
  <c r="AO15" i="10"/>
  <c r="AO14" i="10"/>
  <c r="AO17" i="10"/>
  <c r="AO11" i="10"/>
  <c r="AO13" i="10"/>
  <c r="AO8" i="10"/>
  <c r="AO10" i="10"/>
  <c r="AO16" i="10"/>
  <c r="BG14" i="45"/>
  <c r="BG13" i="45"/>
  <c r="BG10" i="45"/>
  <c r="BG12" i="45"/>
  <c r="BG17" i="45"/>
  <c r="BG11" i="45"/>
  <c r="BG16" i="45"/>
  <c r="BG15" i="45"/>
  <c r="BG9" i="45"/>
  <c r="AO46" i="13"/>
  <c r="AO41" i="13"/>
  <c r="AO44" i="13"/>
  <c r="AO43" i="13"/>
  <c r="AO48" i="13"/>
  <c r="AO45" i="13"/>
  <c r="AO42" i="13"/>
  <c r="AO47" i="13"/>
  <c r="AO49" i="13"/>
  <c r="AL59" i="13"/>
  <c r="AL20" i="49" s="1"/>
  <c r="AL21" i="49" s="1"/>
  <c r="AL10" i="49" s="1"/>
  <c r="AK9" i="49"/>
  <c r="AK16" i="48" s="1"/>
  <c r="AL19" i="11"/>
  <c r="AN8" i="29" s="1"/>
  <c r="BG54" i="45"/>
  <c r="BG55" i="45"/>
  <c r="BG53" i="45"/>
  <c r="BG8" i="45"/>
  <c r="AJ35" i="13"/>
  <c r="AJ36" i="13" s="1"/>
  <c r="AI12" i="25" s="1"/>
  <c r="AK71" i="46"/>
  <c r="AK31" i="13" s="1"/>
  <c r="AN61" i="13"/>
  <c r="AI57" i="13"/>
  <c r="AI29" i="49" s="1"/>
  <c r="AJ56" i="13"/>
  <c r="AO34" i="13"/>
  <c r="AO33" i="13"/>
  <c r="AN60" i="13"/>
  <c r="AH57" i="13"/>
  <c r="AH29" i="49" s="1"/>
  <c r="AH30" i="49" s="1"/>
  <c r="AL74" i="46"/>
  <c r="AL100" i="46" s="1"/>
  <c r="AL64" i="46"/>
  <c r="AL90" i="46" s="1"/>
  <c r="AL68" i="46"/>
  <c r="AL94" i="46" s="1"/>
  <c r="AL62" i="46"/>
  <c r="AL88" i="46" s="1"/>
  <c r="AL69" i="46"/>
  <c r="AL95" i="46" s="1"/>
  <c r="AL63" i="46"/>
  <c r="AL89" i="46" s="1"/>
  <c r="AL66" i="46"/>
  <c r="AL92" i="46" s="1"/>
  <c r="AL65" i="46"/>
  <c r="AL91" i="46" s="1"/>
  <c r="AL73" i="46"/>
  <c r="AL99" i="46" s="1"/>
  <c r="AL70" i="46"/>
  <c r="AL96" i="46" s="1"/>
  <c r="AL61" i="46"/>
  <c r="AL87" i="46" s="1"/>
  <c r="AL67" i="46"/>
  <c r="AL93" i="46" s="1"/>
  <c r="AO28" i="46"/>
  <c r="AO27" i="46"/>
  <c r="AO30" i="46"/>
  <c r="AO25" i="46"/>
  <c r="AO26" i="46"/>
  <c r="AO29" i="46"/>
  <c r="AO31" i="46"/>
  <c r="AO12" i="46"/>
  <c r="AO19" i="46"/>
  <c r="AO22" i="46"/>
  <c r="AO16" i="46"/>
  <c r="AO17" i="46"/>
  <c r="AO18" i="46"/>
  <c r="AO15" i="46"/>
  <c r="AO23" i="46"/>
  <c r="AO21" i="46"/>
  <c r="AO11" i="46"/>
  <c r="AO10" i="46"/>
  <c r="AO14" i="46"/>
  <c r="AO13" i="46"/>
  <c r="AK86" i="46"/>
  <c r="AK9" i="13" s="1"/>
  <c r="AK60" i="46"/>
  <c r="AK8" i="13" s="1"/>
  <c r="AN9" i="46"/>
  <c r="BG41" i="45"/>
  <c r="BG52" i="45"/>
  <c r="BG38" i="45"/>
  <c r="BG44" i="45"/>
  <c r="BG45" i="45"/>
  <c r="BG36" i="45"/>
  <c r="BG39" i="45"/>
  <c r="BG37" i="45"/>
  <c r="BG51" i="45"/>
  <c r="BG48" i="45"/>
  <c r="BG49" i="45"/>
  <c r="BG42" i="45"/>
  <c r="BG40" i="45"/>
  <c r="BG50" i="45"/>
  <c r="BG47" i="45"/>
  <c r="AK101" i="46"/>
  <c r="AS22" i="20"/>
  <c r="AK97" i="46"/>
  <c r="AK32" i="13" s="1"/>
  <c r="AL76" i="46"/>
  <c r="AL102" i="46" s="1"/>
  <c r="AL82" i="46"/>
  <c r="AL108" i="46" s="1"/>
  <c r="AL81" i="46"/>
  <c r="AL107" i="46" s="1"/>
  <c r="AL80" i="46"/>
  <c r="AL106" i="46" s="1"/>
  <c r="AL79" i="46"/>
  <c r="AL105" i="46" s="1"/>
  <c r="AK75" i="46"/>
  <c r="AK39" i="13" s="1"/>
  <c r="AL77" i="46"/>
  <c r="AL103" i="46" s="1"/>
  <c r="AL78" i="46"/>
  <c r="AL104" i="46" s="1"/>
  <c r="AM49" i="46"/>
  <c r="AN24" i="46"/>
  <c r="BH58" i="45"/>
  <c r="BH59" i="45"/>
  <c r="AO13" i="20"/>
  <c r="AP13" i="20"/>
  <c r="AE18" i="29"/>
  <c r="AD13" i="19"/>
  <c r="AI27" i="13"/>
  <c r="AG51" i="13"/>
  <c r="AG64" i="13"/>
  <c r="AH13" i="29" s="1"/>
  <c r="AE13" i="25"/>
  <c r="AE14" i="25" s="1"/>
  <c r="AE17" i="25" s="1"/>
  <c r="AE23" i="25" s="1"/>
  <c r="AF53" i="13"/>
  <c r="AG14" i="29" s="1"/>
  <c r="AG18" i="29" s="1"/>
  <c r="AJ9" i="13"/>
  <c r="AL98" i="46"/>
  <c r="AN20" i="46"/>
  <c r="M21" i="29"/>
  <c r="K14" i="19"/>
  <c r="AL13" i="49"/>
  <c r="AK9" i="25"/>
  <c r="AJ11" i="49"/>
  <c r="AH16" i="48"/>
  <c r="AF18" i="29"/>
  <c r="AE13" i="19"/>
  <c r="AJ22" i="25"/>
  <c r="AK26" i="13"/>
  <c r="AK63" i="13" s="1"/>
  <c r="AI51" i="13"/>
  <c r="AH13" i="25" s="1"/>
  <c r="AH62" i="13"/>
  <c r="AI109" i="46"/>
  <c r="AM52" i="46"/>
  <c r="AM54" i="46"/>
  <c r="AM51" i="46"/>
  <c r="AM53" i="46"/>
  <c r="AM56" i="46"/>
  <c r="AM55" i="46"/>
  <c r="AM57" i="46"/>
  <c r="AM41" i="46"/>
  <c r="AM40" i="46"/>
  <c r="AM42" i="46"/>
  <c r="AM43" i="46"/>
  <c r="AM44" i="46"/>
  <c r="AM45" i="46"/>
  <c r="AK9" i="29"/>
  <c r="AK19" i="29" s="1"/>
  <c r="AM16" i="33"/>
  <c r="AM13" i="48" s="1"/>
  <c r="AM19" i="33"/>
  <c r="AL25" i="33"/>
  <c r="AL28" i="33" s="1"/>
  <c r="AL12" i="48" s="1"/>
  <c r="AL22" i="33"/>
  <c r="AO3" i="33"/>
  <c r="AO13" i="33" s="1"/>
  <c r="AN2" i="33"/>
  <c r="AM4" i="33"/>
  <c r="AN1" i="33"/>
  <c r="AN15" i="33"/>
  <c r="AN21" i="33" s="1"/>
  <c r="AN27" i="33" s="1"/>
  <c r="AN14" i="33"/>
  <c r="AN20" i="33" s="1"/>
  <c r="AN26" i="33" s="1"/>
  <c r="AM37" i="46"/>
  <c r="AM39" i="46"/>
  <c r="AM36" i="46"/>
  <c r="AM38" i="46"/>
  <c r="AM32" i="46"/>
  <c r="AO3" i="11"/>
  <c r="AN2" i="11"/>
  <c r="AM4" i="11"/>
  <c r="AN1" i="11"/>
  <c r="AT4" i="20"/>
  <c r="AT21" i="20" s="1"/>
  <c r="AU2" i="20"/>
  <c r="AU1" i="20"/>
  <c r="AV3" i="20"/>
  <c r="AN2" i="19"/>
  <c r="AO3" i="19"/>
  <c r="AM4" i="19"/>
  <c r="AN1" i="19"/>
  <c r="AJ83" i="46"/>
  <c r="AM2" i="25"/>
  <c r="AN3" i="25"/>
  <c r="AL4" i="25"/>
  <c r="AM1" i="25"/>
  <c r="AO2" i="13"/>
  <c r="AP3" i="13"/>
  <c r="AN4" i="13"/>
  <c r="AO1" i="13"/>
  <c r="AM47" i="46"/>
  <c r="AM72" i="46" s="1"/>
  <c r="AM48" i="46"/>
  <c r="AP3" i="46"/>
  <c r="AO1" i="46"/>
  <c r="AN4" i="46"/>
  <c r="AO2" i="46"/>
  <c r="AN112" i="46"/>
  <c r="AN113" i="46"/>
  <c r="BI2" i="45"/>
  <c r="BJ3" i="45"/>
  <c r="BI1" i="45"/>
  <c r="BH4" i="45"/>
  <c r="AO3" i="24"/>
  <c r="AN2" i="24"/>
  <c r="AN1" i="24"/>
  <c r="AM4" i="24"/>
  <c r="AO2" i="10"/>
  <c r="AP3" i="10"/>
  <c r="AN4" i="10"/>
  <c r="AO1" i="10"/>
  <c r="BH21" i="45"/>
  <c r="BH20" i="45"/>
  <c r="AQ3" i="29"/>
  <c r="AP2" i="29"/>
  <c r="AO4" i="29"/>
  <c r="AP1" i="29"/>
  <c r="AP24" i="13" l="1"/>
  <c r="AP22" i="13"/>
  <c r="AP23" i="13"/>
  <c r="AP20" i="13"/>
  <c r="AP21" i="13"/>
  <c r="AP25" i="13"/>
  <c r="AM58" i="13"/>
  <c r="AM19" i="49" s="1"/>
  <c r="AN15" i="13"/>
  <c r="AN14" i="11"/>
  <c r="AN13" i="13"/>
  <c r="AN12" i="11"/>
  <c r="AN19" i="13"/>
  <c r="AN18" i="11"/>
  <c r="AN10" i="13"/>
  <c r="AN9" i="11"/>
  <c r="BH25" i="45"/>
  <c r="BH32" i="45"/>
  <c r="BH28" i="45"/>
  <c r="BH29" i="45"/>
  <c r="BH33" i="45"/>
  <c r="BH27" i="45"/>
  <c r="BH30" i="45"/>
  <c r="BH31" i="45"/>
  <c r="BH26" i="45"/>
  <c r="BH34" i="45"/>
  <c r="AN16" i="13"/>
  <c r="AN15" i="11"/>
  <c r="AN17" i="13"/>
  <c r="AN16" i="11"/>
  <c r="AN14" i="13"/>
  <c r="AN13" i="11"/>
  <c r="AN11" i="13"/>
  <c r="AN10" i="11"/>
  <c r="AN12" i="13"/>
  <c r="AN11" i="11"/>
  <c r="AP9" i="10"/>
  <c r="AP12" i="10"/>
  <c r="AP17" i="10"/>
  <c r="AP16" i="10"/>
  <c r="AP11" i="10"/>
  <c r="AP14" i="10"/>
  <c r="AP13" i="10"/>
  <c r="AP8" i="10"/>
  <c r="AP15" i="10"/>
  <c r="AP10" i="10"/>
  <c r="AN18" i="13"/>
  <c r="AN17" i="11"/>
  <c r="BH16" i="45"/>
  <c r="BH14" i="45"/>
  <c r="BH12" i="45"/>
  <c r="BH15" i="45"/>
  <c r="BH13" i="45"/>
  <c r="BH10" i="45"/>
  <c r="BH17" i="45"/>
  <c r="BH11" i="45"/>
  <c r="BH9" i="45"/>
  <c r="AP43" i="13"/>
  <c r="AP46" i="13"/>
  <c r="AP41" i="13"/>
  <c r="AP49" i="13"/>
  <c r="AP48" i="13"/>
  <c r="AP45" i="13"/>
  <c r="AP44" i="13"/>
  <c r="AP47" i="13"/>
  <c r="AP42" i="13"/>
  <c r="AM59" i="13"/>
  <c r="AM20" i="49" s="1"/>
  <c r="AM19" i="11"/>
  <c r="AO8" i="29" s="1"/>
  <c r="BH55" i="45"/>
  <c r="BH54" i="45"/>
  <c r="BH53" i="45"/>
  <c r="AK35" i="13"/>
  <c r="AK36" i="13" s="1"/>
  <c r="AJ12" i="25" s="1"/>
  <c r="BH8" i="45"/>
  <c r="AE15" i="25"/>
  <c r="AL71" i="46"/>
  <c r="AL31" i="13" s="1"/>
  <c r="AK56" i="13"/>
  <c r="AI28" i="13"/>
  <c r="AH10" i="25" s="1"/>
  <c r="AH11" i="25" s="1"/>
  <c r="AH14" i="25" s="1"/>
  <c r="AH17" i="25" s="1"/>
  <c r="AH23" i="25" s="1"/>
  <c r="AI62" i="13"/>
  <c r="AI64" i="13" s="1"/>
  <c r="AJ13" i="29" s="1"/>
  <c r="AO61" i="13"/>
  <c r="AP33" i="13"/>
  <c r="AP34" i="13"/>
  <c r="AO60" i="13"/>
  <c r="AM74" i="46"/>
  <c r="AM100" i="46" s="1"/>
  <c r="AM66" i="46"/>
  <c r="AM92" i="46" s="1"/>
  <c r="AM63" i="46"/>
  <c r="AM89" i="46" s="1"/>
  <c r="AM69" i="46"/>
  <c r="AM95" i="46" s="1"/>
  <c r="AM61" i="46"/>
  <c r="AM87" i="46" s="1"/>
  <c r="AM68" i="46"/>
  <c r="AM94" i="46" s="1"/>
  <c r="AM64" i="46"/>
  <c r="AM90" i="46" s="1"/>
  <c r="AM67" i="46"/>
  <c r="AM93" i="46" s="1"/>
  <c r="AM70" i="46"/>
  <c r="AM96" i="46" s="1"/>
  <c r="AM73" i="46"/>
  <c r="AM99" i="46" s="1"/>
  <c r="AM62" i="46"/>
  <c r="AM88" i="46" s="1"/>
  <c r="AM65" i="46"/>
  <c r="AM91" i="46" s="1"/>
  <c r="AP29" i="46"/>
  <c r="AP28" i="46"/>
  <c r="AP25" i="46"/>
  <c r="AP27" i="46"/>
  <c r="AP30" i="46"/>
  <c r="AP26" i="46"/>
  <c r="AP31" i="46"/>
  <c r="AP23" i="46"/>
  <c r="AP15" i="46"/>
  <c r="AP17" i="46"/>
  <c r="AP12" i="46"/>
  <c r="AP18" i="46"/>
  <c r="AP13" i="46"/>
  <c r="AP19" i="46"/>
  <c r="AP16" i="46"/>
  <c r="AP11" i="46"/>
  <c r="AP14" i="46"/>
  <c r="AP22" i="46"/>
  <c r="AP21" i="46"/>
  <c r="AP10" i="46"/>
  <c r="AL60" i="46"/>
  <c r="AL8" i="13" s="1"/>
  <c r="AL86" i="46"/>
  <c r="AL9" i="13" s="1"/>
  <c r="AO9" i="46"/>
  <c r="AL101" i="46"/>
  <c r="BH45" i="45"/>
  <c r="BH48" i="45"/>
  <c r="BH52" i="45"/>
  <c r="BH41" i="45"/>
  <c r="BH38" i="45"/>
  <c r="BH37" i="45"/>
  <c r="BH44" i="45"/>
  <c r="BH39" i="45"/>
  <c r="BH51" i="45"/>
  <c r="BH50" i="45"/>
  <c r="BH42" i="45"/>
  <c r="BH49" i="45"/>
  <c r="BH36" i="45"/>
  <c r="BH40" i="45"/>
  <c r="BH47" i="45"/>
  <c r="AT22" i="20"/>
  <c r="AL97" i="46"/>
  <c r="AL32" i="13" s="1"/>
  <c r="AM82" i="46"/>
  <c r="AM108" i="46" s="1"/>
  <c r="AM80" i="46"/>
  <c r="AM106" i="46" s="1"/>
  <c r="AM76" i="46"/>
  <c r="AM102" i="46" s="1"/>
  <c r="AM77" i="46"/>
  <c r="AM103" i="46" s="1"/>
  <c r="AM81" i="46"/>
  <c r="AM107" i="46" s="1"/>
  <c r="AM78" i="46"/>
  <c r="AM104" i="46" s="1"/>
  <c r="AL75" i="46"/>
  <c r="AL39" i="13" s="1"/>
  <c r="AM79" i="46"/>
  <c r="AM105" i="46" s="1"/>
  <c r="AN49" i="46"/>
  <c r="AO24" i="46"/>
  <c r="BI58" i="45"/>
  <c r="BI59" i="45"/>
  <c r="AL10" i="48"/>
  <c r="BN10" i="48" s="1"/>
  <c r="BN12" i="48"/>
  <c r="R15" i="20"/>
  <c r="AK14" i="20"/>
  <c r="AL14" i="20"/>
  <c r="AI30" i="49"/>
  <c r="AF13" i="19"/>
  <c r="AH51" i="13"/>
  <c r="AG13" i="25" s="1"/>
  <c r="AG14" i="25" s="1"/>
  <c r="AG17" i="25" s="1"/>
  <c r="AG23" i="25" s="1"/>
  <c r="AH64" i="13"/>
  <c r="AI13" i="29" s="1"/>
  <c r="AJ27" i="13"/>
  <c r="AF13" i="25"/>
  <c r="AF14" i="25" s="1"/>
  <c r="AF17" i="25" s="1"/>
  <c r="AF23" i="25" s="1"/>
  <c r="AG53" i="13"/>
  <c r="AH14" i="29" s="1"/>
  <c r="AH18" i="29" s="1"/>
  <c r="AM98" i="46"/>
  <c r="AO20" i="46"/>
  <c r="L14" i="19"/>
  <c r="AK27" i="13"/>
  <c r="AM13" i="49"/>
  <c r="AM18" i="48" s="1"/>
  <c r="AM26" i="49"/>
  <c r="AM11" i="49" s="1"/>
  <c r="AJ9" i="49"/>
  <c r="AL26" i="49"/>
  <c r="AL18" i="48"/>
  <c r="BN18" i="48" s="1"/>
  <c r="AK22" i="25"/>
  <c r="AL26" i="13"/>
  <c r="AL63" i="13" s="1"/>
  <c r="AL9" i="25"/>
  <c r="N17" i="29"/>
  <c r="N21" i="29" s="1"/>
  <c r="AN51" i="46"/>
  <c r="AN53" i="46"/>
  <c r="AN52" i="46"/>
  <c r="AN54" i="46"/>
  <c r="AN55" i="46"/>
  <c r="AN57" i="46"/>
  <c r="AN56" i="46"/>
  <c r="AN40" i="46"/>
  <c r="AN42" i="46"/>
  <c r="AN41" i="46"/>
  <c r="AN44" i="46"/>
  <c r="AN43" i="46"/>
  <c r="AN45" i="46"/>
  <c r="AJ12" i="19"/>
  <c r="AL9" i="29"/>
  <c r="AL19" i="29" s="1"/>
  <c r="AP3" i="33"/>
  <c r="AP13" i="33" s="1"/>
  <c r="AO15" i="33"/>
  <c r="AO21" i="33" s="1"/>
  <c r="AO27" i="33" s="1"/>
  <c r="AO1" i="33"/>
  <c r="AO2" i="33"/>
  <c r="AO14" i="33"/>
  <c r="AO20" i="33" s="1"/>
  <c r="AO26" i="33" s="1"/>
  <c r="AN4" i="33"/>
  <c r="AM22" i="33"/>
  <c r="AM25" i="33"/>
  <c r="AM28" i="33" s="1"/>
  <c r="AM12" i="48" s="1"/>
  <c r="AM10" i="48" s="1"/>
  <c r="AN19" i="33"/>
  <c r="AN16" i="33"/>
  <c r="AN13" i="48" s="1"/>
  <c r="AN36" i="46"/>
  <c r="AN38" i="46"/>
  <c r="AN37" i="46"/>
  <c r="AN39" i="46"/>
  <c r="AK83" i="46"/>
  <c r="AP3" i="11"/>
  <c r="AN4" i="11"/>
  <c r="AO1" i="11"/>
  <c r="AO2" i="11"/>
  <c r="AU4" i="20"/>
  <c r="AU21" i="20" s="1"/>
  <c r="AV1" i="20"/>
  <c r="AV2" i="20"/>
  <c r="AW3" i="20"/>
  <c r="AO2" i="19"/>
  <c r="AP3" i="19"/>
  <c r="AN4" i="19"/>
  <c r="AO1" i="19"/>
  <c r="AO113" i="46"/>
  <c r="AO112" i="46"/>
  <c r="AN32" i="46"/>
  <c r="AJ40" i="13"/>
  <c r="AJ109" i="46"/>
  <c r="AN47" i="46"/>
  <c r="AN72" i="46" s="1"/>
  <c r="AN48" i="46"/>
  <c r="AP2" i="46"/>
  <c r="AQ3" i="46"/>
  <c r="AO4" i="46"/>
  <c r="AP1" i="46"/>
  <c r="AP2" i="13"/>
  <c r="AQ3" i="13"/>
  <c r="AO4" i="13"/>
  <c r="AP1" i="13"/>
  <c r="AN2" i="25"/>
  <c r="AO3" i="25"/>
  <c r="AN1" i="25"/>
  <c r="AM4" i="25"/>
  <c r="AP2" i="10"/>
  <c r="AO4" i="10"/>
  <c r="AQ3" i="10"/>
  <c r="AP1" i="10"/>
  <c r="BJ2" i="45"/>
  <c r="BK3" i="45"/>
  <c r="BI4" i="45"/>
  <c r="BJ1" i="45"/>
  <c r="AQ2" i="29"/>
  <c r="AR3" i="29"/>
  <c r="AP4" i="29"/>
  <c r="AQ1" i="29"/>
  <c r="AO2" i="24"/>
  <c r="AP3" i="24"/>
  <c r="AN4" i="24"/>
  <c r="AO1" i="24"/>
  <c r="BI21" i="45"/>
  <c r="BI20" i="45"/>
  <c r="AN58" i="13" l="1"/>
  <c r="AN19" i="49" s="1"/>
  <c r="AQ24" i="13"/>
  <c r="AQ22" i="13"/>
  <c r="AQ25" i="13"/>
  <c r="AQ23" i="13"/>
  <c r="AQ20" i="13"/>
  <c r="AQ21" i="13"/>
  <c r="AM21" i="49"/>
  <c r="AM10" i="49" s="1"/>
  <c r="AM9" i="49" s="1"/>
  <c r="AM16" i="48" s="1"/>
  <c r="AO17" i="13"/>
  <c r="AO16" i="11"/>
  <c r="AO10" i="13"/>
  <c r="AO9" i="11"/>
  <c r="AO15" i="13"/>
  <c r="AO14" i="11"/>
  <c r="AO13" i="13"/>
  <c r="AO12" i="11"/>
  <c r="AO18" i="13"/>
  <c r="AO17" i="11"/>
  <c r="AO19" i="13"/>
  <c r="AO18" i="11"/>
  <c r="AO14" i="13"/>
  <c r="AO13" i="11"/>
  <c r="BI28" i="45"/>
  <c r="BI34" i="45"/>
  <c r="BI32" i="45"/>
  <c r="BI29" i="45"/>
  <c r="BI33" i="45"/>
  <c r="BI27" i="45"/>
  <c r="BI25" i="45"/>
  <c r="BI30" i="45"/>
  <c r="BI31" i="45"/>
  <c r="BI26" i="45"/>
  <c r="AO11" i="13"/>
  <c r="AO10" i="11"/>
  <c r="AO16" i="13"/>
  <c r="AO15" i="11"/>
  <c r="AQ9" i="10"/>
  <c r="AQ12" i="10"/>
  <c r="AQ17" i="10"/>
  <c r="AQ14" i="10"/>
  <c r="AQ16" i="10"/>
  <c r="AQ11" i="10"/>
  <c r="AQ10" i="10"/>
  <c r="AQ13" i="10"/>
  <c r="AQ8" i="10"/>
  <c r="AQ15" i="10"/>
  <c r="AO12" i="13"/>
  <c r="AO11" i="11"/>
  <c r="BI12" i="45"/>
  <c r="BI13" i="45"/>
  <c r="BI10" i="45"/>
  <c r="BI11" i="45"/>
  <c r="BI17" i="45"/>
  <c r="BI16" i="45"/>
  <c r="BI14" i="45"/>
  <c r="BI15" i="45"/>
  <c r="BI9" i="45"/>
  <c r="AQ48" i="13"/>
  <c r="AQ43" i="13"/>
  <c r="AQ46" i="13"/>
  <c r="AQ41" i="13"/>
  <c r="AQ42" i="13"/>
  <c r="AQ47" i="13"/>
  <c r="AQ44" i="13"/>
  <c r="AQ49" i="13"/>
  <c r="AQ45" i="13"/>
  <c r="AN59" i="13"/>
  <c r="AN20" i="49" s="1"/>
  <c r="AN21" i="49" s="1"/>
  <c r="AN10" i="49" s="1"/>
  <c r="AN19" i="11"/>
  <c r="AP8" i="29" s="1"/>
  <c r="BI55" i="45"/>
  <c r="BI54" i="45"/>
  <c r="BI53" i="45"/>
  <c r="AJ50" i="13"/>
  <c r="AJ51" i="13" s="1"/>
  <c r="AI13" i="25" s="1"/>
  <c r="AM71" i="46"/>
  <c r="AM31" i="13" s="1"/>
  <c r="BI8" i="45"/>
  <c r="AL35" i="13"/>
  <c r="AL36" i="13" s="1"/>
  <c r="AK12" i="25" s="1"/>
  <c r="AG15" i="25"/>
  <c r="AF15" i="25"/>
  <c r="AH15" i="25"/>
  <c r="AI53" i="13"/>
  <c r="AP61" i="13"/>
  <c r="AL56" i="13"/>
  <c r="AQ34" i="13"/>
  <c r="AQ33" i="13"/>
  <c r="AP60" i="13"/>
  <c r="AJ57" i="13"/>
  <c r="AJ29" i="49" s="1"/>
  <c r="AJ30" i="49" s="1"/>
  <c r="AJ28" i="13"/>
  <c r="AI10" i="25" s="1"/>
  <c r="AI11" i="25" s="1"/>
  <c r="AU22" i="20"/>
  <c r="AN70" i="46"/>
  <c r="AN96" i="46" s="1"/>
  <c r="AN63" i="46"/>
  <c r="AN89" i="46" s="1"/>
  <c r="AN74" i="46"/>
  <c r="AN100" i="46" s="1"/>
  <c r="AN61" i="46"/>
  <c r="AN87" i="46" s="1"/>
  <c r="AN66" i="46"/>
  <c r="AN92" i="46" s="1"/>
  <c r="AN67" i="46"/>
  <c r="AN93" i="46" s="1"/>
  <c r="AN64" i="46"/>
  <c r="AN90" i="46" s="1"/>
  <c r="AN62" i="46"/>
  <c r="AN88" i="46" s="1"/>
  <c r="AN68" i="46"/>
  <c r="AN94" i="46" s="1"/>
  <c r="AN69" i="46"/>
  <c r="AN95" i="46" s="1"/>
  <c r="AN73" i="46"/>
  <c r="AN99" i="46" s="1"/>
  <c r="AN65" i="46"/>
  <c r="AN91" i="46" s="1"/>
  <c r="AQ30" i="46"/>
  <c r="AQ29" i="46"/>
  <c r="AQ26" i="46"/>
  <c r="AQ25" i="46"/>
  <c r="AQ31" i="46"/>
  <c r="AQ28" i="46"/>
  <c r="AQ27" i="46"/>
  <c r="AQ14" i="46"/>
  <c r="AQ18" i="46"/>
  <c r="AQ16" i="46"/>
  <c r="AQ17" i="46"/>
  <c r="AQ15" i="46"/>
  <c r="AQ13" i="46"/>
  <c r="AQ19" i="46"/>
  <c r="AQ21" i="46"/>
  <c r="AQ22" i="46"/>
  <c r="AQ11" i="46"/>
  <c r="AQ12" i="46"/>
  <c r="AQ10" i="46"/>
  <c r="AQ23" i="46"/>
  <c r="AM86" i="46"/>
  <c r="AM9" i="13" s="1"/>
  <c r="AM60" i="46"/>
  <c r="AM8" i="13" s="1"/>
  <c r="AP9" i="46"/>
  <c r="AM101" i="46"/>
  <c r="BI49" i="45"/>
  <c r="BI48" i="45"/>
  <c r="BI44" i="45"/>
  <c r="BI40" i="45"/>
  <c r="BI51" i="45"/>
  <c r="BI41" i="45"/>
  <c r="BI39" i="45"/>
  <c r="BI52" i="45"/>
  <c r="BI38" i="45"/>
  <c r="BI36" i="45"/>
  <c r="BI37" i="45"/>
  <c r="BI42" i="45"/>
  <c r="BI45" i="45"/>
  <c r="BI50" i="45"/>
  <c r="BI47" i="45"/>
  <c r="AM97" i="46"/>
  <c r="AM32" i="13" s="1"/>
  <c r="AN80" i="46"/>
  <c r="AN106" i="46" s="1"/>
  <c r="AN79" i="46"/>
  <c r="AN105" i="46" s="1"/>
  <c r="AN77" i="46"/>
  <c r="AN103" i="46" s="1"/>
  <c r="AM75" i="46"/>
  <c r="AM39" i="13" s="1"/>
  <c r="AN82" i="46"/>
  <c r="AN108" i="46" s="1"/>
  <c r="AN78" i="46"/>
  <c r="AN104" i="46" s="1"/>
  <c r="AN81" i="46"/>
  <c r="AN107" i="46" s="1"/>
  <c r="AN76" i="46"/>
  <c r="AN102" i="46" s="1"/>
  <c r="AO49" i="46"/>
  <c r="AP24" i="46"/>
  <c r="BJ58" i="45"/>
  <c r="BJ59" i="45"/>
  <c r="AQ13" i="20"/>
  <c r="S15" i="20"/>
  <c r="AM14" i="20"/>
  <c r="AG13" i="19"/>
  <c r="AH53" i="13"/>
  <c r="AJ14" i="29"/>
  <c r="AJ18" i="29" s="1"/>
  <c r="AK28" i="13"/>
  <c r="AJ10" i="25" s="1"/>
  <c r="AJ11" i="25" s="1"/>
  <c r="AN98" i="46"/>
  <c r="AP20" i="46"/>
  <c r="AL27" i="13"/>
  <c r="M14" i="19"/>
  <c r="AN13" i="49"/>
  <c r="AL11" i="49"/>
  <c r="AJ16" i="48"/>
  <c r="AM9" i="25"/>
  <c r="AL22" i="25"/>
  <c r="AM26" i="13"/>
  <c r="AM63" i="13" s="1"/>
  <c r="N20" i="29"/>
  <c r="AO52" i="46"/>
  <c r="AO54" i="46"/>
  <c r="AO51" i="46"/>
  <c r="AO53" i="46"/>
  <c r="AO56" i="46"/>
  <c r="AO55" i="46"/>
  <c r="AO57" i="46"/>
  <c r="AO41" i="46"/>
  <c r="AO40" i="46"/>
  <c r="AO42" i="46"/>
  <c r="AO43" i="46"/>
  <c r="AO44" i="46"/>
  <c r="AO45" i="46"/>
  <c r="AK12" i="19"/>
  <c r="AM9" i="29"/>
  <c r="AM19" i="29" s="1"/>
  <c r="AN25" i="33"/>
  <c r="AN28" i="33" s="1"/>
  <c r="AN12" i="48" s="1"/>
  <c r="AN10" i="48" s="1"/>
  <c r="AN22" i="33"/>
  <c r="AO16" i="33"/>
  <c r="AO13" i="48" s="1"/>
  <c r="AO19" i="33"/>
  <c r="AP15" i="33"/>
  <c r="AP21" i="33" s="1"/>
  <c r="AP27" i="33" s="1"/>
  <c r="AP14" i="33"/>
  <c r="AP20" i="33" s="1"/>
  <c r="AP26" i="33" s="1"/>
  <c r="AP1" i="33"/>
  <c r="AQ3" i="33"/>
  <c r="AQ13" i="33" s="1"/>
  <c r="AP2" i="33"/>
  <c r="AO4" i="33"/>
  <c r="AL83" i="46"/>
  <c r="AO37" i="46"/>
  <c r="AO39" i="46"/>
  <c r="AO36" i="46"/>
  <c r="AO38" i="46"/>
  <c r="AI14" i="29"/>
  <c r="AI18" i="29" s="1"/>
  <c r="AQ3" i="11"/>
  <c r="AP2" i="11"/>
  <c r="AP1" i="11"/>
  <c r="AO4" i="11"/>
  <c r="AV4" i="20"/>
  <c r="AV21" i="20" s="1"/>
  <c r="AW2" i="20"/>
  <c r="AW1" i="20"/>
  <c r="AX3" i="20"/>
  <c r="AP2" i="19"/>
  <c r="AQ3" i="19"/>
  <c r="AO4" i="19"/>
  <c r="AP1" i="19"/>
  <c r="AO2" i="25"/>
  <c r="AP3" i="25"/>
  <c r="AN4" i="25"/>
  <c r="AO1" i="25"/>
  <c r="AQ2" i="13"/>
  <c r="AR3" i="13"/>
  <c r="AP4" i="13"/>
  <c r="AQ1" i="13"/>
  <c r="AO47" i="46"/>
  <c r="AO72" i="46" s="1"/>
  <c r="AO48" i="46"/>
  <c r="AR3" i="46"/>
  <c r="AP4" i="46"/>
  <c r="AQ1" i="46"/>
  <c r="AQ2" i="46"/>
  <c r="AP112" i="46"/>
  <c r="AP113" i="46"/>
  <c r="AK40" i="13"/>
  <c r="AK50" i="13" s="1"/>
  <c r="AK109" i="46"/>
  <c r="AO32" i="46"/>
  <c r="AQ3" i="24"/>
  <c r="AP2" i="24"/>
  <c r="AP1" i="24"/>
  <c r="AO4" i="24"/>
  <c r="BK2" i="45"/>
  <c r="BL3" i="45"/>
  <c r="BJ4" i="45"/>
  <c r="BK1" i="45"/>
  <c r="AS3" i="29"/>
  <c r="AR2" i="29"/>
  <c r="AQ4" i="29"/>
  <c r="AR1" i="29"/>
  <c r="BJ21" i="45"/>
  <c r="BJ20" i="45"/>
  <c r="AQ2" i="10"/>
  <c r="AP4" i="10"/>
  <c r="AR3" i="10"/>
  <c r="AQ1" i="10"/>
  <c r="AO58" i="13" l="1"/>
  <c r="AO19" i="49" s="1"/>
  <c r="AR24" i="13"/>
  <c r="AR22" i="13"/>
  <c r="AR25" i="13"/>
  <c r="AR23" i="13"/>
  <c r="AR21" i="13"/>
  <c r="AR20" i="13"/>
  <c r="AP15" i="13"/>
  <c r="AP14" i="11"/>
  <c r="AP17" i="13"/>
  <c r="AP16" i="11"/>
  <c r="AP12" i="13"/>
  <c r="AP11" i="11"/>
  <c r="AP13" i="13"/>
  <c r="AP12" i="11"/>
  <c r="AP18" i="13"/>
  <c r="AP17" i="11"/>
  <c r="AP16" i="13"/>
  <c r="AP15" i="11"/>
  <c r="AP19" i="13"/>
  <c r="AP18" i="11"/>
  <c r="AP14" i="13"/>
  <c r="AP13" i="11"/>
  <c r="AP11" i="13"/>
  <c r="AP10" i="11"/>
  <c r="AR16" i="10"/>
  <c r="AR10" i="10"/>
  <c r="AR13" i="10"/>
  <c r="AR15" i="10"/>
  <c r="AR9" i="10"/>
  <c r="AR12" i="10"/>
  <c r="AR14" i="10"/>
  <c r="AR8" i="10"/>
  <c r="AR11" i="10"/>
  <c r="AR17" i="10"/>
  <c r="AP10" i="13"/>
  <c r="AP9" i="11"/>
  <c r="BJ34" i="45"/>
  <c r="BJ28" i="45"/>
  <c r="BJ31" i="45"/>
  <c r="BJ32" i="45"/>
  <c r="BJ27" i="45"/>
  <c r="BJ25" i="45"/>
  <c r="BJ30" i="45"/>
  <c r="BJ29" i="45"/>
  <c r="BJ26" i="45"/>
  <c r="BJ33" i="45"/>
  <c r="BJ16" i="45"/>
  <c r="BJ17" i="45"/>
  <c r="BJ10" i="45"/>
  <c r="BJ13" i="45"/>
  <c r="BJ11" i="45"/>
  <c r="BJ15" i="45"/>
  <c r="BJ12" i="45"/>
  <c r="BJ14" i="45"/>
  <c r="BJ9" i="45"/>
  <c r="AR45" i="13"/>
  <c r="AR43" i="13"/>
  <c r="AR44" i="13"/>
  <c r="AR49" i="13"/>
  <c r="AR41" i="13"/>
  <c r="AR46" i="13"/>
  <c r="AR48" i="13"/>
  <c r="AR42" i="13"/>
  <c r="AR47" i="13"/>
  <c r="AI14" i="25"/>
  <c r="AJ62" i="13"/>
  <c r="AJ64" i="13" s="1"/>
  <c r="AK13" i="29" s="1"/>
  <c r="AK14" i="29" s="1"/>
  <c r="AK18" i="29" s="1"/>
  <c r="AO19" i="11"/>
  <c r="AQ8" i="29" s="1"/>
  <c r="AO59" i="13"/>
  <c r="AO20" i="49" s="1"/>
  <c r="AO21" i="49" s="1"/>
  <c r="AO10" i="49" s="1"/>
  <c r="BJ55" i="45"/>
  <c r="BJ54" i="45"/>
  <c r="BJ53" i="45"/>
  <c r="AM35" i="13"/>
  <c r="AM36" i="13" s="1"/>
  <c r="AL12" i="25" s="1"/>
  <c r="BJ8" i="45"/>
  <c r="AV22" i="20"/>
  <c r="AQ61" i="13"/>
  <c r="AQ60" i="13"/>
  <c r="AJ53" i="13"/>
  <c r="AK57" i="13"/>
  <c r="AK29" i="49" s="1"/>
  <c r="AK30" i="49" s="1"/>
  <c r="AR34" i="13"/>
  <c r="AR33" i="13"/>
  <c r="AM56" i="13"/>
  <c r="AN71" i="46"/>
  <c r="AN31" i="13" s="1"/>
  <c r="AN60" i="46"/>
  <c r="AN8" i="13" s="1"/>
  <c r="AO61" i="46"/>
  <c r="AO87" i="46" s="1"/>
  <c r="AO64" i="46"/>
  <c r="AO90" i="46" s="1"/>
  <c r="AO69" i="46"/>
  <c r="AO95" i="46" s="1"/>
  <c r="AO73" i="46"/>
  <c r="AO99" i="46" s="1"/>
  <c r="AO62" i="46"/>
  <c r="AO88" i="46" s="1"/>
  <c r="AO68" i="46"/>
  <c r="AO94" i="46" s="1"/>
  <c r="AO67" i="46"/>
  <c r="AO93" i="46" s="1"/>
  <c r="AO74" i="46"/>
  <c r="AO100" i="46" s="1"/>
  <c r="AO65" i="46"/>
  <c r="AO91" i="46" s="1"/>
  <c r="AO70" i="46"/>
  <c r="AO96" i="46" s="1"/>
  <c r="AO66" i="46"/>
  <c r="AO92" i="46" s="1"/>
  <c r="AO63" i="46"/>
  <c r="AO89" i="46" s="1"/>
  <c r="AR30" i="46"/>
  <c r="AR27" i="46"/>
  <c r="AR28" i="46"/>
  <c r="AR26" i="46"/>
  <c r="AR31" i="46"/>
  <c r="AR29" i="46"/>
  <c r="AR25" i="46"/>
  <c r="AR19" i="46"/>
  <c r="AR16" i="46"/>
  <c r="AR17" i="46"/>
  <c r="AR14" i="46"/>
  <c r="AR18" i="46"/>
  <c r="AR15" i="46"/>
  <c r="AR10" i="46"/>
  <c r="AR22" i="46"/>
  <c r="AR23" i="46"/>
  <c r="AR12" i="46"/>
  <c r="AR13" i="46"/>
  <c r="AR21" i="46"/>
  <c r="AR11" i="46"/>
  <c r="AN86" i="46"/>
  <c r="AN9" i="13" s="1"/>
  <c r="AQ9" i="46"/>
  <c r="BJ48" i="45"/>
  <c r="BJ49" i="45"/>
  <c r="BJ45" i="45"/>
  <c r="BJ50" i="45"/>
  <c r="BJ44" i="45"/>
  <c r="BJ36" i="45"/>
  <c r="BJ39" i="45"/>
  <c r="BJ52" i="45"/>
  <c r="BJ51" i="45"/>
  <c r="BJ41" i="45"/>
  <c r="BJ37" i="45"/>
  <c r="BJ42" i="45"/>
  <c r="BJ47" i="45"/>
  <c r="BJ40" i="45"/>
  <c r="BJ38" i="45"/>
  <c r="AN101" i="46"/>
  <c r="AN97" i="46"/>
  <c r="AN32" i="13" s="1"/>
  <c r="AO80" i="46"/>
  <c r="AO106" i="46" s="1"/>
  <c r="AO78" i="46"/>
  <c r="AO104" i="46" s="1"/>
  <c r="AO76" i="46"/>
  <c r="AO102" i="46" s="1"/>
  <c r="AO79" i="46"/>
  <c r="AO105" i="46" s="1"/>
  <c r="AO82" i="46"/>
  <c r="AO108" i="46" s="1"/>
  <c r="AO77" i="46"/>
  <c r="AO103" i="46" s="1"/>
  <c r="AN75" i="46"/>
  <c r="AN39" i="13" s="1"/>
  <c r="AO81" i="46"/>
  <c r="AO107" i="46" s="1"/>
  <c r="AP49" i="46"/>
  <c r="AQ24" i="46"/>
  <c r="BK58" i="45"/>
  <c r="BK59" i="45"/>
  <c r="T15" i="20"/>
  <c r="AR13" i="20"/>
  <c r="AN14" i="20"/>
  <c r="AI13" i="19"/>
  <c r="AL28" i="13"/>
  <c r="AK10" i="25" s="1"/>
  <c r="AK11" i="25" s="1"/>
  <c r="AO98" i="46"/>
  <c r="AQ20" i="46"/>
  <c r="AM27" i="13"/>
  <c r="AO13" i="49"/>
  <c r="AO18" i="48" s="1"/>
  <c r="AO26" i="49"/>
  <c r="AO11" i="49" s="1"/>
  <c r="AN26" i="49"/>
  <c r="AN9" i="25"/>
  <c r="AL9" i="49"/>
  <c r="BN9" i="49" s="1"/>
  <c r="AN18" i="48"/>
  <c r="O17" i="29"/>
  <c r="O20" i="29" s="1"/>
  <c r="M17" i="48"/>
  <c r="AM22" i="25"/>
  <c r="AN26" i="13"/>
  <c r="AN63" i="13" s="1"/>
  <c r="AK62" i="13"/>
  <c r="AP51" i="46"/>
  <c r="AP53" i="46"/>
  <c r="AP52" i="46"/>
  <c r="AP54" i="46"/>
  <c r="AP55" i="46"/>
  <c r="AP57" i="46"/>
  <c r="AP56" i="46"/>
  <c r="AP40" i="46"/>
  <c r="AP42" i="46"/>
  <c r="AP41" i="46"/>
  <c r="AP44" i="46"/>
  <c r="AP43" i="46"/>
  <c r="AP45" i="46"/>
  <c r="AN9" i="29"/>
  <c r="AL12" i="19"/>
  <c r="AH13" i="19"/>
  <c r="AP16" i="33"/>
  <c r="AP13" i="48" s="1"/>
  <c r="AP19" i="33"/>
  <c r="AO25" i="33"/>
  <c r="AO28" i="33" s="1"/>
  <c r="AO12" i="48" s="1"/>
  <c r="AO10" i="48" s="1"/>
  <c r="AO22" i="33"/>
  <c r="AQ14" i="33"/>
  <c r="AQ20" i="33" s="1"/>
  <c r="AQ26" i="33" s="1"/>
  <c r="AQ2" i="33"/>
  <c r="AP4" i="33"/>
  <c r="AR3" i="33"/>
  <c r="AR13" i="33" s="1"/>
  <c r="AQ15" i="33"/>
  <c r="AQ21" i="33" s="1"/>
  <c r="AQ27" i="33" s="1"/>
  <c r="AQ1" i="33"/>
  <c r="AO9" i="29"/>
  <c r="AO19" i="29" s="1"/>
  <c r="AP36" i="46"/>
  <c r="AP38" i="46"/>
  <c r="AP37" i="46"/>
  <c r="AP39" i="46"/>
  <c r="AR3" i="11"/>
  <c r="AP4" i="11"/>
  <c r="AQ2" i="11"/>
  <c r="AQ1" i="11"/>
  <c r="AX1" i="20"/>
  <c r="AW4" i="20"/>
  <c r="AW21" i="20" s="1"/>
  <c r="AY3" i="20"/>
  <c r="AX2" i="20"/>
  <c r="AM40" i="13"/>
  <c r="AM50" i="13" s="1"/>
  <c r="AM83" i="46"/>
  <c r="AQ2" i="19"/>
  <c r="AR3" i="19"/>
  <c r="AP4" i="19"/>
  <c r="AQ1" i="19"/>
  <c r="AP47" i="46"/>
  <c r="AP72" i="46" s="1"/>
  <c r="AP48" i="46"/>
  <c r="AS3" i="46"/>
  <c r="AQ4" i="46"/>
  <c r="AR1" i="46"/>
  <c r="AR2" i="46"/>
  <c r="AR2" i="13"/>
  <c r="AS3" i="13"/>
  <c r="AQ4" i="13"/>
  <c r="AR1" i="13"/>
  <c r="AP2" i="25"/>
  <c r="AQ3" i="25"/>
  <c r="AP1" i="25"/>
  <c r="AO4" i="25"/>
  <c r="AL40" i="13"/>
  <c r="AL50" i="13" s="1"/>
  <c r="AL109" i="46"/>
  <c r="AQ113" i="46"/>
  <c r="AQ112" i="46"/>
  <c r="AP32" i="46"/>
  <c r="BL2" i="45"/>
  <c r="BM3" i="45"/>
  <c r="BK4" i="45"/>
  <c r="BL1" i="45"/>
  <c r="AQ2" i="24"/>
  <c r="AR3" i="24"/>
  <c r="AP4" i="24"/>
  <c r="AQ1" i="24"/>
  <c r="AR2" i="10"/>
  <c r="AQ4" i="10"/>
  <c r="AS3" i="10"/>
  <c r="AR1" i="10"/>
  <c r="AS2" i="29"/>
  <c r="AT3" i="29"/>
  <c r="AS1" i="29"/>
  <c r="AR4" i="29"/>
  <c r="BK21" i="45"/>
  <c r="BK20" i="45"/>
  <c r="AP58" i="13" l="1"/>
  <c r="AP19" i="49" s="1"/>
  <c r="AS20" i="13"/>
  <c r="AS22" i="13"/>
  <c r="AS24" i="13"/>
  <c r="AS21" i="13"/>
  <c r="AS25" i="13"/>
  <c r="AS23" i="13"/>
  <c r="AI15" i="25"/>
  <c r="AI17" i="25"/>
  <c r="AI23" i="25" s="1"/>
  <c r="AQ16" i="13"/>
  <c r="AQ15" i="11"/>
  <c r="BK31" i="45"/>
  <c r="BK25" i="45"/>
  <c r="BK34" i="45"/>
  <c r="BK32" i="45"/>
  <c r="BK28" i="45"/>
  <c r="BK27" i="45"/>
  <c r="BK29" i="45"/>
  <c r="BK26" i="45"/>
  <c r="BK33" i="45"/>
  <c r="BK30" i="45"/>
  <c r="AQ17" i="13"/>
  <c r="AQ16" i="11"/>
  <c r="AQ15" i="13"/>
  <c r="AQ14" i="11"/>
  <c r="AQ12" i="13"/>
  <c r="AQ11" i="11"/>
  <c r="AQ18" i="13"/>
  <c r="AQ17" i="11"/>
  <c r="AQ14" i="13"/>
  <c r="AQ13" i="11"/>
  <c r="AS13" i="10"/>
  <c r="AS16" i="10"/>
  <c r="AS8" i="10"/>
  <c r="AS11" i="10"/>
  <c r="AS14" i="10"/>
  <c r="AS17" i="10"/>
  <c r="AS10" i="10"/>
  <c r="AS15" i="10"/>
  <c r="AS12" i="10"/>
  <c r="AS9" i="10"/>
  <c r="AQ11" i="13"/>
  <c r="AQ10" i="11"/>
  <c r="AQ19" i="13"/>
  <c r="AQ18" i="11"/>
  <c r="AQ13" i="13"/>
  <c r="AQ12" i="11"/>
  <c r="AQ10" i="13"/>
  <c r="AQ58" i="13" s="1"/>
  <c r="AQ19" i="49" s="1"/>
  <c r="AQ9" i="11"/>
  <c r="BK10" i="45"/>
  <c r="BK12" i="45"/>
  <c r="BK13" i="45"/>
  <c r="BK14" i="45"/>
  <c r="BK17" i="45"/>
  <c r="BK15" i="45"/>
  <c r="BK16" i="45"/>
  <c r="BK11" i="45"/>
  <c r="BK9" i="45"/>
  <c r="AS42" i="13"/>
  <c r="AS45" i="13"/>
  <c r="AS48" i="13"/>
  <c r="AS47" i="13"/>
  <c r="AS44" i="13"/>
  <c r="AS49" i="13"/>
  <c r="AS41" i="13"/>
  <c r="AS46" i="13"/>
  <c r="AS43" i="13"/>
  <c r="AP19" i="11"/>
  <c r="AR8" i="29" s="1"/>
  <c r="AP59" i="13"/>
  <c r="AP20" i="49" s="1"/>
  <c r="AP21" i="49" s="1"/>
  <c r="AP10" i="49" s="1"/>
  <c r="AO9" i="49"/>
  <c r="AO16" i="48" s="1"/>
  <c r="BK55" i="45"/>
  <c r="BK54" i="45"/>
  <c r="BK53" i="45"/>
  <c r="BK8" i="45"/>
  <c r="AW22" i="20"/>
  <c r="AR61" i="13"/>
  <c r="AN56" i="13"/>
  <c r="AM57" i="13"/>
  <c r="AM29" i="49" s="1"/>
  <c r="AL57" i="13"/>
  <c r="AL29" i="49" s="1"/>
  <c r="AL30" i="49" s="1"/>
  <c r="AR60" i="13"/>
  <c r="AS34" i="13"/>
  <c r="AS33" i="13"/>
  <c r="AM62" i="13"/>
  <c r="AN35" i="13"/>
  <c r="AN36" i="13" s="1"/>
  <c r="AM12" i="25" s="1"/>
  <c r="AO71" i="46"/>
  <c r="AO31" i="13" s="1"/>
  <c r="AO60" i="46"/>
  <c r="AO8" i="13" s="1"/>
  <c r="AP64" i="46"/>
  <c r="AP90" i="46" s="1"/>
  <c r="AP62" i="46"/>
  <c r="AP88" i="46" s="1"/>
  <c r="AP63" i="46"/>
  <c r="AP89" i="46" s="1"/>
  <c r="AP70" i="46"/>
  <c r="AP96" i="46" s="1"/>
  <c r="AP73" i="46"/>
  <c r="AP99" i="46" s="1"/>
  <c r="AP65" i="46"/>
  <c r="AP91" i="46" s="1"/>
  <c r="AP61" i="46"/>
  <c r="AP87" i="46" s="1"/>
  <c r="AP68" i="46"/>
  <c r="AP94" i="46" s="1"/>
  <c r="AP74" i="46"/>
  <c r="AP100" i="46" s="1"/>
  <c r="AP69" i="46"/>
  <c r="AP95" i="46" s="1"/>
  <c r="AP66" i="46"/>
  <c r="AP92" i="46" s="1"/>
  <c r="AP67" i="46"/>
  <c r="AP93" i="46" s="1"/>
  <c r="AS28" i="46"/>
  <c r="AS29" i="46"/>
  <c r="AS26" i="46"/>
  <c r="AS25" i="46"/>
  <c r="AS30" i="46"/>
  <c r="AS27" i="46"/>
  <c r="AS31" i="46"/>
  <c r="AS16" i="46"/>
  <c r="AS17" i="46"/>
  <c r="AS14" i="46"/>
  <c r="AS18" i="46"/>
  <c r="AS19" i="46"/>
  <c r="AS15" i="46"/>
  <c r="AS21" i="46"/>
  <c r="AS11" i="46"/>
  <c r="AS23" i="46"/>
  <c r="AS10" i="46"/>
  <c r="AS13" i="46"/>
  <c r="AS22" i="46"/>
  <c r="AS12" i="46"/>
  <c r="AO86" i="46"/>
  <c r="AO9" i="13" s="1"/>
  <c r="AR9" i="46"/>
  <c r="BK49" i="45"/>
  <c r="BK42" i="45"/>
  <c r="BK37" i="45"/>
  <c r="BK48" i="45"/>
  <c r="BK45" i="45"/>
  <c r="BK44" i="45"/>
  <c r="BK52" i="45"/>
  <c r="BK38" i="45"/>
  <c r="BK51" i="45"/>
  <c r="BK39" i="45"/>
  <c r="BK40" i="45"/>
  <c r="BK41" i="45"/>
  <c r="BK50" i="45"/>
  <c r="BK36" i="45"/>
  <c r="BK47" i="45"/>
  <c r="AO101" i="46"/>
  <c r="AO97" i="46"/>
  <c r="AO32" i="13" s="1"/>
  <c r="AP82" i="46"/>
  <c r="AP108" i="46" s="1"/>
  <c r="AP80" i="46"/>
  <c r="AP106" i="46" s="1"/>
  <c r="AP77" i="46"/>
  <c r="AP103" i="46" s="1"/>
  <c r="AP79" i="46"/>
  <c r="AP105" i="46" s="1"/>
  <c r="AP78" i="46"/>
  <c r="AP104" i="46" s="1"/>
  <c r="AP81" i="46"/>
  <c r="AP107" i="46" s="1"/>
  <c r="AP76" i="46"/>
  <c r="AP102" i="46" s="1"/>
  <c r="AO75" i="46"/>
  <c r="AO39" i="13" s="1"/>
  <c r="AQ49" i="46"/>
  <c r="AR24" i="46"/>
  <c r="BL58" i="45"/>
  <c r="BL59" i="45"/>
  <c r="AS13" i="20"/>
  <c r="AO14" i="20"/>
  <c r="AP14" i="20"/>
  <c r="AQ26" i="49"/>
  <c r="AK51" i="13"/>
  <c r="AJ13" i="25" s="1"/>
  <c r="AJ14" i="25" s="1"/>
  <c r="AM28" i="13"/>
  <c r="AL10" i="25" s="1"/>
  <c r="AL11" i="25" s="1"/>
  <c r="AP98" i="46"/>
  <c r="AN27" i="13"/>
  <c r="AR20" i="46"/>
  <c r="AJ13" i="19"/>
  <c r="O21" i="29"/>
  <c r="AL16" i="48"/>
  <c r="BN16" i="48" s="1"/>
  <c r="AP13" i="49"/>
  <c r="AP18" i="48" s="1"/>
  <c r="AP26" i="49"/>
  <c r="AP11" i="49" s="1"/>
  <c r="AN11" i="49"/>
  <c r="P17" i="29"/>
  <c r="N17" i="48"/>
  <c r="BL17" i="48" s="1"/>
  <c r="AO9" i="25"/>
  <c r="AM51" i="13"/>
  <c r="AL13" i="25" s="1"/>
  <c r="AL62" i="13"/>
  <c r="AN22" i="25"/>
  <c r="AO26" i="13"/>
  <c r="AO63" i="13" s="1"/>
  <c r="AM12" i="19"/>
  <c r="AN19" i="29"/>
  <c r="AQ52" i="46"/>
  <c r="AQ54" i="46"/>
  <c r="AQ51" i="46"/>
  <c r="AQ53" i="46"/>
  <c r="AQ56" i="46"/>
  <c r="AQ55" i="46"/>
  <c r="AQ57" i="46"/>
  <c r="AQ41" i="46"/>
  <c r="AQ40" i="46"/>
  <c r="AQ42" i="46"/>
  <c r="AQ43" i="46"/>
  <c r="AQ44" i="46"/>
  <c r="AQ45" i="46"/>
  <c r="AN83" i="46"/>
  <c r="AQ16" i="33"/>
  <c r="AQ13" i="48" s="1"/>
  <c r="AQ19" i="33"/>
  <c r="AP25" i="33"/>
  <c r="AP28" i="33" s="1"/>
  <c r="AP12" i="48" s="1"/>
  <c r="AP10" i="48" s="1"/>
  <c r="AP22" i="33"/>
  <c r="AR15" i="33"/>
  <c r="AR21" i="33" s="1"/>
  <c r="AR27" i="33" s="1"/>
  <c r="AR14" i="33"/>
  <c r="AR20" i="33" s="1"/>
  <c r="AR26" i="33" s="1"/>
  <c r="AR1" i="33"/>
  <c r="AS3" i="33"/>
  <c r="AS13" i="33" s="1"/>
  <c r="AR2" i="33"/>
  <c r="AQ4" i="33"/>
  <c r="AQ37" i="46"/>
  <c r="AQ39" i="46"/>
  <c r="AQ36" i="46"/>
  <c r="AQ38" i="46"/>
  <c r="AM109" i="46"/>
  <c r="AS3" i="11"/>
  <c r="AR2" i="11"/>
  <c r="AQ4" i="11"/>
  <c r="AR1" i="11"/>
  <c r="AQ32" i="46"/>
  <c r="AY2" i="20"/>
  <c r="AX4" i="20"/>
  <c r="AX21" i="20" s="1"/>
  <c r="AZ3" i="20"/>
  <c r="AY1" i="20"/>
  <c r="AR2" i="19"/>
  <c r="AS3" i="19"/>
  <c r="AQ4" i="19"/>
  <c r="AR1" i="19"/>
  <c r="AQ47" i="46"/>
  <c r="AQ72" i="46" s="1"/>
  <c r="AQ48" i="46"/>
  <c r="AT3" i="46"/>
  <c r="AS1" i="46"/>
  <c r="AR4" i="46"/>
  <c r="AS2" i="46"/>
  <c r="AQ2" i="25"/>
  <c r="AR3" i="25"/>
  <c r="AP4" i="25"/>
  <c r="AQ1" i="25"/>
  <c r="AS2" i="13"/>
  <c r="AT3" i="13"/>
  <c r="AR4" i="13"/>
  <c r="AS1" i="13"/>
  <c r="AR112" i="46"/>
  <c r="AR113" i="46"/>
  <c r="AS2" i="10"/>
  <c r="AT3" i="10"/>
  <c r="AR4" i="10"/>
  <c r="AS1" i="10"/>
  <c r="AS3" i="24"/>
  <c r="AR2" i="24"/>
  <c r="AQ4" i="24"/>
  <c r="AR1" i="24"/>
  <c r="BM2" i="45"/>
  <c r="BN3" i="45"/>
  <c r="BM1" i="45"/>
  <c r="BL4" i="45"/>
  <c r="AN12" i="19"/>
  <c r="AU3" i="29"/>
  <c r="AT2" i="29"/>
  <c r="AS4" i="29"/>
  <c r="AT1" i="29"/>
  <c r="BL21" i="45"/>
  <c r="BL20" i="45"/>
  <c r="AT20" i="13" l="1"/>
  <c r="AT22" i="13"/>
  <c r="AT24" i="13"/>
  <c r="AT21" i="13"/>
  <c r="AT23" i="13"/>
  <c r="AT25" i="13"/>
  <c r="AJ17" i="25"/>
  <c r="AJ23" i="25" s="1"/>
  <c r="AR18" i="13"/>
  <c r="AR17" i="11"/>
  <c r="AR15" i="13"/>
  <c r="AR14" i="11"/>
  <c r="BL26" i="45"/>
  <c r="BL27" i="45"/>
  <c r="BL31" i="45"/>
  <c r="BL34" i="45"/>
  <c r="BL25" i="45"/>
  <c r="BL28" i="45"/>
  <c r="BL30" i="45"/>
  <c r="BL29" i="45"/>
  <c r="BL33" i="45"/>
  <c r="BL32" i="45"/>
  <c r="AR11" i="13"/>
  <c r="AR10" i="11"/>
  <c r="AR14" i="13"/>
  <c r="AR13" i="11"/>
  <c r="AR17" i="13"/>
  <c r="AR16" i="11"/>
  <c r="AR12" i="13"/>
  <c r="AR11" i="11"/>
  <c r="AR19" i="13"/>
  <c r="AR18" i="11"/>
  <c r="AR16" i="13"/>
  <c r="AR15" i="11"/>
  <c r="AT10" i="10"/>
  <c r="AT13" i="10"/>
  <c r="AT16" i="10"/>
  <c r="AT9" i="10"/>
  <c r="AT12" i="10"/>
  <c r="AT15" i="10"/>
  <c r="AT8" i="10"/>
  <c r="AT11" i="10"/>
  <c r="AT14" i="10"/>
  <c r="AT17" i="10"/>
  <c r="AR13" i="13"/>
  <c r="AR12" i="11"/>
  <c r="AR10" i="13"/>
  <c r="AR9" i="11"/>
  <c r="BL15" i="45"/>
  <c r="BL14" i="45"/>
  <c r="BL13" i="45"/>
  <c r="BL16" i="45"/>
  <c r="BL12" i="45"/>
  <c r="BL11" i="45"/>
  <c r="BL17" i="45"/>
  <c r="BL10" i="45"/>
  <c r="BL9" i="45"/>
  <c r="AT47" i="13"/>
  <c r="AT42" i="13"/>
  <c r="AT45" i="13"/>
  <c r="AT44" i="13"/>
  <c r="AT49" i="13"/>
  <c r="AT41" i="13"/>
  <c r="AT46" i="13"/>
  <c r="AT43" i="13"/>
  <c r="AT48" i="13"/>
  <c r="AP9" i="49"/>
  <c r="AP16" i="48" s="1"/>
  <c r="AQ59" i="13"/>
  <c r="AQ20" i="49" s="1"/>
  <c r="AQ21" i="49" s="1"/>
  <c r="AQ10" i="49" s="1"/>
  <c r="AQ19" i="11"/>
  <c r="AS8" i="29" s="1"/>
  <c r="BL55" i="45"/>
  <c r="BL54" i="45"/>
  <c r="BL53" i="45"/>
  <c r="AX22" i="20"/>
  <c r="BL8" i="45"/>
  <c r="AO35" i="13"/>
  <c r="AO36" i="13" s="1"/>
  <c r="AN12" i="25" s="1"/>
  <c r="AS61" i="13"/>
  <c r="AS60" i="13"/>
  <c r="AT33" i="13"/>
  <c r="AT34" i="13"/>
  <c r="AO56" i="13"/>
  <c r="AP71" i="46"/>
  <c r="AP31" i="13" s="1"/>
  <c r="AP60" i="46"/>
  <c r="AP8" i="13" s="1"/>
  <c r="AQ67" i="46"/>
  <c r="AQ93" i="46" s="1"/>
  <c r="AQ68" i="46"/>
  <c r="AQ94" i="46" s="1"/>
  <c r="AQ64" i="46"/>
  <c r="AQ90" i="46" s="1"/>
  <c r="AQ65" i="46"/>
  <c r="AQ91" i="46" s="1"/>
  <c r="AQ74" i="46"/>
  <c r="AQ100" i="46" s="1"/>
  <c r="AQ66" i="46"/>
  <c r="AQ92" i="46" s="1"/>
  <c r="AQ61" i="46"/>
  <c r="AQ87" i="46" s="1"/>
  <c r="AQ62" i="46"/>
  <c r="AQ88" i="46" s="1"/>
  <c r="AQ73" i="46"/>
  <c r="AQ99" i="46" s="1"/>
  <c r="AQ70" i="46"/>
  <c r="AQ96" i="46" s="1"/>
  <c r="AQ63" i="46"/>
  <c r="AQ89" i="46" s="1"/>
  <c r="AQ69" i="46"/>
  <c r="AQ95" i="46" s="1"/>
  <c r="AT25" i="46"/>
  <c r="AT29" i="46"/>
  <c r="AT27" i="46"/>
  <c r="AT31" i="46"/>
  <c r="AT28" i="46"/>
  <c r="AT26" i="46"/>
  <c r="AT30" i="46"/>
  <c r="AT16" i="46"/>
  <c r="AT15" i="46"/>
  <c r="AT17" i="46"/>
  <c r="AT18" i="46"/>
  <c r="AT19" i="46"/>
  <c r="AT23" i="46"/>
  <c r="AT13" i="46"/>
  <c r="AT21" i="46"/>
  <c r="AT22" i="46"/>
  <c r="AT12" i="46"/>
  <c r="AT11" i="46"/>
  <c r="AT14" i="46"/>
  <c r="AT10" i="46"/>
  <c r="AP86" i="46"/>
  <c r="AP9" i="13" s="1"/>
  <c r="AS9" i="46"/>
  <c r="AP101" i="46"/>
  <c r="BL49" i="45"/>
  <c r="BL48" i="45"/>
  <c r="BL36" i="45"/>
  <c r="BL40" i="45"/>
  <c r="BL38" i="45"/>
  <c r="BL45" i="45"/>
  <c r="BL39" i="45"/>
  <c r="BL52" i="45"/>
  <c r="BL51" i="45"/>
  <c r="BL42" i="45"/>
  <c r="BL37" i="45"/>
  <c r="BL44" i="45"/>
  <c r="BL50" i="45"/>
  <c r="BL41" i="45"/>
  <c r="BL47" i="45"/>
  <c r="AP97" i="46"/>
  <c r="AP32" i="13" s="1"/>
  <c r="AQ82" i="46"/>
  <c r="AQ108" i="46" s="1"/>
  <c r="AQ77" i="46"/>
  <c r="AQ103" i="46" s="1"/>
  <c r="AQ80" i="46"/>
  <c r="AQ106" i="46" s="1"/>
  <c r="AQ81" i="46"/>
  <c r="AQ107" i="46" s="1"/>
  <c r="AP75" i="46"/>
  <c r="AP39" i="13" s="1"/>
  <c r="AQ78" i="46"/>
  <c r="AQ104" i="46" s="1"/>
  <c r="AQ79" i="46"/>
  <c r="AQ105" i="46" s="1"/>
  <c r="AQ76" i="46"/>
  <c r="AQ102" i="46" s="1"/>
  <c r="AR49" i="46"/>
  <c r="AS24" i="46"/>
  <c r="BM58" i="45"/>
  <c r="BM59" i="45"/>
  <c r="AQ14" i="20"/>
  <c r="AT13" i="20"/>
  <c r="AU13" i="20"/>
  <c r="N14" i="19"/>
  <c r="AM30" i="49"/>
  <c r="AK64" i="13"/>
  <c r="AL13" i="29" s="1"/>
  <c r="AM64" i="13"/>
  <c r="AN13" i="29" s="1"/>
  <c r="AL14" i="25"/>
  <c r="AL17" i="25" s="1"/>
  <c r="AL23" i="25" s="1"/>
  <c r="AL51" i="13"/>
  <c r="AK13" i="25" s="1"/>
  <c r="AK14" i="25" s="1"/>
  <c r="AK17" i="25" s="1"/>
  <c r="AK23" i="25" s="1"/>
  <c r="AL64" i="13"/>
  <c r="AM13" i="29" s="1"/>
  <c r="AK53" i="13"/>
  <c r="AN28" i="13"/>
  <c r="AM10" i="25" s="1"/>
  <c r="AM11" i="25" s="1"/>
  <c r="AQ98" i="46"/>
  <c r="AQ13" i="49"/>
  <c r="AQ18" i="48" s="1"/>
  <c r="AP9" i="25"/>
  <c r="AS20" i="46"/>
  <c r="AQ11" i="49"/>
  <c r="AN9" i="49"/>
  <c r="P21" i="29"/>
  <c r="P20" i="29"/>
  <c r="AO27" i="13"/>
  <c r="AJ15" i="25"/>
  <c r="AO22" i="25"/>
  <c r="AP26" i="13"/>
  <c r="AP63" i="13" s="1"/>
  <c r="AR51" i="46"/>
  <c r="AR76" i="46" s="1"/>
  <c r="AR102" i="46" s="1"/>
  <c r="AR53" i="46"/>
  <c r="AR78" i="46" s="1"/>
  <c r="AR104" i="46" s="1"/>
  <c r="AR52" i="46"/>
  <c r="AR77" i="46" s="1"/>
  <c r="AR103" i="46" s="1"/>
  <c r="AR54" i="46"/>
  <c r="AR79" i="46" s="1"/>
  <c r="AR105" i="46" s="1"/>
  <c r="AR55" i="46"/>
  <c r="AR80" i="46" s="1"/>
  <c r="AR106" i="46" s="1"/>
  <c r="AR57" i="46"/>
  <c r="AR82" i="46" s="1"/>
  <c r="AR108" i="46" s="1"/>
  <c r="AR56" i="46"/>
  <c r="AR81" i="46" s="1"/>
  <c r="AR107" i="46" s="1"/>
  <c r="AR40" i="46"/>
  <c r="AR42" i="46"/>
  <c r="AR41" i="46"/>
  <c r="AR44" i="46"/>
  <c r="AR43" i="46"/>
  <c r="AR45" i="46"/>
  <c r="AP9" i="29"/>
  <c r="AR16" i="33"/>
  <c r="AR13" i="48" s="1"/>
  <c r="AR19" i="33"/>
  <c r="AQ25" i="33"/>
  <c r="AQ28" i="33" s="1"/>
  <c r="AQ12" i="48" s="1"/>
  <c r="AQ22" i="33"/>
  <c r="AS14" i="33"/>
  <c r="AS20" i="33" s="1"/>
  <c r="AS26" i="33" s="1"/>
  <c r="AS2" i="33"/>
  <c r="AR4" i="33"/>
  <c r="AT3" i="33"/>
  <c r="AT13" i="33" s="1"/>
  <c r="AS15" i="33"/>
  <c r="AS21" i="33" s="1"/>
  <c r="AS27" i="33" s="1"/>
  <c r="AS1" i="33"/>
  <c r="AO83" i="46"/>
  <c r="AR36" i="46"/>
  <c r="AR38" i="46"/>
  <c r="AR37" i="46"/>
  <c r="AR39" i="46"/>
  <c r="AT3" i="11"/>
  <c r="AR4" i="11"/>
  <c r="AS1" i="11"/>
  <c r="AS2" i="11"/>
  <c r="AZ1" i="20"/>
  <c r="AY4" i="20"/>
  <c r="AY21" i="20" s="1"/>
  <c r="BA3" i="20"/>
  <c r="AZ2" i="20"/>
  <c r="AS2" i="19"/>
  <c r="AT3" i="19"/>
  <c r="AR4" i="19"/>
  <c r="AS1" i="19"/>
  <c r="AR47" i="46"/>
  <c r="AR72" i="46" s="1"/>
  <c r="AR48" i="46"/>
  <c r="AS112" i="46"/>
  <c r="AS113" i="46"/>
  <c r="AR32" i="46"/>
  <c r="AT2" i="13"/>
  <c r="AU3" i="13"/>
  <c r="AS4" i="13"/>
  <c r="AT1" i="13"/>
  <c r="AR2" i="25"/>
  <c r="AS3" i="25"/>
  <c r="AR1" i="25"/>
  <c r="AQ4" i="25"/>
  <c r="AN109" i="46"/>
  <c r="AN40" i="13"/>
  <c r="AN50" i="13" s="1"/>
  <c r="AU3" i="46"/>
  <c r="AS4" i="46"/>
  <c r="AT1" i="46"/>
  <c r="AT2" i="46"/>
  <c r="AM53" i="13"/>
  <c r="AU2" i="29"/>
  <c r="AV3" i="29"/>
  <c r="AT4" i="29"/>
  <c r="AU1" i="29"/>
  <c r="BN2" i="45"/>
  <c r="BO3" i="45"/>
  <c r="BM4" i="45"/>
  <c r="BN1" i="45"/>
  <c r="AT2" i="10"/>
  <c r="AS4" i="10"/>
  <c r="AU3" i="10"/>
  <c r="AT1" i="10"/>
  <c r="BM21" i="45"/>
  <c r="BM20" i="45"/>
  <c r="AS2" i="24"/>
  <c r="AT3" i="24"/>
  <c r="AR4" i="24"/>
  <c r="AS1" i="24"/>
  <c r="AR58" i="13" l="1"/>
  <c r="AR19" i="49" s="1"/>
  <c r="AU21" i="13"/>
  <c r="AU23" i="13"/>
  <c r="AU25" i="13"/>
  <c r="AU24" i="13"/>
  <c r="AU20" i="13"/>
  <c r="AU22" i="13"/>
  <c r="AS19" i="13"/>
  <c r="AS18" i="11"/>
  <c r="AS16" i="13"/>
  <c r="AS15" i="11"/>
  <c r="AS13" i="13"/>
  <c r="AS12" i="11"/>
  <c r="AS10" i="13"/>
  <c r="AS9" i="11"/>
  <c r="AS17" i="13"/>
  <c r="AS16" i="11"/>
  <c r="AS14" i="13"/>
  <c r="AS13" i="11"/>
  <c r="AS11" i="13"/>
  <c r="AS10" i="11"/>
  <c r="AS18" i="13"/>
  <c r="AS17" i="11"/>
  <c r="AS15" i="13"/>
  <c r="AS14" i="11"/>
  <c r="AS12" i="13"/>
  <c r="AS11" i="11"/>
  <c r="BM26" i="45"/>
  <c r="BM27" i="45"/>
  <c r="BM25" i="45"/>
  <c r="BM31" i="45"/>
  <c r="BM34" i="45"/>
  <c r="BM32" i="45"/>
  <c r="BM30" i="45"/>
  <c r="BM29" i="45"/>
  <c r="BM28" i="45"/>
  <c r="BM33" i="45"/>
  <c r="AU10" i="10"/>
  <c r="AU13" i="10"/>
  <c r="AU16" i="10"/>
  <c r="AU9" i="10"/>
  <c r="AU12" i="10"/>
  <c r="AU15" i="10"/>
  <c r="AU17" i="10"/>
  <c r="AU8" i="10"/>
  <c r="AU11" i="10"/>
  <c r="AU14" i="10"/>
  <c r="BM16" i="45"/>
  <c r="BM11" i="45"/>
  <c r="BM12" i="45"/>
  <c r="BM14" i="45"/>
  <c r="BM15" i="45"/>
  <c r="BM10" i="45"/>
  <c r="BM13" i="45"/>
  <c r="BM17" i="45"/>
  <c r="BM9" i="45"/>
  <c r="AU44" i="13"/>
  <c r="AU47" i="13"/>
  <c r="AU42" i="13"/>
  <c r="AU49" i="13"/>
  <c r="AU41" i="13"/>
  <c r="AU46" i="13"/>
  <c r="AU45" i="13"/>
  <c r="AU48" i="13"/>
  <c r="AU43" i="13"/>
  <c r="AQ9" i="49"/>
  <c r="AQ16" i="48" s="1"/>
  <c r="AR19" i="11"/>
  <c r="AT8" i="29" s="1"/>
  <c r="AR59" i="13"/>
  <c r="AR20" i="49" s="1"/>
  <c r="AR21" i="49" s="1"/>
  <c r="AR10" i="49" s="1"/>
  <c r="BM54" i="45"/>
  <c r="BM55" i="45"/>
  <c r="BM53" i="45"/>
  <c r="AY22" i="20"/>
  <c r="BM8" i="45"/>
  <c r="AQ71" i="46"/>
  <c r="AQ31" i="13" s="1"/>
  <c r="AK15" i="25"/>
  <c r="AL15" i="25"/>
  <c r="AP56" i="13"/>
  <c r="AT60" i="13"/>
  <c r="AN57" i="13"/>
  <c r="AN29" i="49" s="1"/>
  <c r="AN30" i="49" s="1"/>
  <c r="AU34" i="13"/>
  <c r="AU33" i="13"/>
  <c r="AT61" i="13"/>
  <c r="AP35" i="13"/>
  <c r="AP36" i="13" s="1"/>
  <c r="AO12" i="25" s="1"/>
  <c r="AQ60" i="46"/>
  <c r="AQ8" i="13" s="1"/>
  <c r="AR62" i="46"/>
  <c r="AR88" i="46" s="1"/>
  <c r="AR68" i="46"/>
  <c r="AR94" i="46" s="1"/>
  <c r="AR61" i="46"/>
  <c r="AR87" i="46" s="1"/>
  <c r="AR66" i="46"/>
  <c r="AR92" i="46" s="1"/>
  <c r="AR63" i="46"/>
  <c r="AR89" i="46" s="1"/>
  <c r="AR69" i="46"/>
  <c r="AR95" i="46" s="1"/>
  <c r="AR67" i="46"/>
  <c r="AR93" i="46" s="1"/>
  <c r="AR74" i="46"/>
  <c r="AR100" i="46" s="1"/>
  <c r="AR70" i="46"/>
  <c r="AR96" i="46" s="1"/>
  <c r="AR64" i="46"/>
  <c r="AR90" i="46" s="1"/>
  <c r="AR73" i="46"/>
  <c r="AR99" i="46" s="1"/>
  <c r="AR65" i="46"/>
  <c r="AR91" i="46" s="1"/>
  <c r="AU26" i="46"/>
  <c r="AU25" i="46"/>
  <c r="AU30" i="46"/>
  <c r="AU27" i="46"/>
  <c r="AU29" i="46"/>
  <c r="AU31" i="46"/>
  <c r="AU28" i="46"/>
  <c r="AU17" i="46"/>
  <c r="AU16" i="46"/>
  <c r="AU10" i="46"/>
  <c r="AU19" i="46"/>
  <c r="AU18" i="46"/>
  <c r="AU13" i="46"/>
  <c r="AU12" i="46"/>
  <c r="AU15" i="46"/>
  <c r="AU14" i="46"/>
  <c r="AU11" i="46"/>
  <c r="AU22" i="46"/>
  <c r="AU23" i="46"/>
  <c r="AU21" i="46"/>
  <c r="AQ86" i="46"/>
  <c r="AQ9" i="13" s="1"/>
  <c r="AT9" i="46"/>
  <c r="BM44" i="45"/>
  <c r="BM37" i="45"/>
  <c r="BM49" i="45"/>
  <c r="BM48" i="45"/>
  <c r="BM38" i="45"/>
  <c r="BM45" i="45"/>
  <c r="BM41" i="45"/>
  <c r="BM40" i="45"/>
  <c r="BM51" i="45"/>
  <c r="BM36" i="45"/>
  <c r="BM39" i="45"/>
  <c r="BM42" i="45"/>
  <c r="BM52" i="45"/>
  <c r="BM50" i="45"/>
  <c r="BM47" i="45"/>
  <c r="AR101" i="46"/>
  <c r="AQ101" i="46"/>
  <c r="AQ97" i="46"/>
  <c r="AQ32" i="13" s="1"/>
  <c r="AQ75" i="46"/>
  <c r="AQ39" i="13" s="1"/>
  <c r="AR75" i="46"/>
  <c r="AS49" i="46"/>
  <c r="AT24" i="46"/>
  <c r="BN58" i="45"/>
  <c r="BN59" i="45"/>
  <c r="U15" i="20"/>
  <c r="AL14" i="29"/>
  <c r="AL18" i="29" s="1"/>
  <c r="AL53" i="13"/>
  <c r="AO28" i="13"/>
  <c r="AN10" i="25" s="1"/>
  <c r="AN11" i="25" s="1"/>
  <c r="AR98" i="46"/>
  <c r="AT20" i="46"/>
  <c r="AP27" i="13"/>
  <c r="AQ10" i="48"/>
  <c r="AR13" i="49"/>
  <c r="AQ9" i="25"/>
  <c r="AN16" i="48"/>
  <c r="AN14" i="29"/>
  <c r="AN18" i="29" s="1"/>
  <c r="O14" i="19"/>
  <c r="Q17" i="29"/>
  <c r="O17" i="48"/>
  <c r="AP22" i="25"/>
  <c r="AQ26" i="13"/>
  <c r="AQ63" i="13" s="1"/>
  <c r="AO12" i="19"/>
  <c r="AP19" i="29"/>
  <c r="AN62" i="13"/>
  <c r="AS52" i="46"/>
  <c r="AS54" i="46"/>
  <c r="AS51" i="46"/>
  <c r="AS53" i="46"/>
  <c r="AS56" i="46"/>
  <c r="AS55" i="46"/>
  <c r="AS57" i="46"/>
  <c r="AS41" i="46"/>
  <c r="AS40" i="46"/>
  <c r="AS42" i="46"/>
  <c r="AS43" i="46"/>
  <c r="AS44" i="46"/>
  <c r="AS45" i="46"/>
  <c r="AS16" i="33"/>
  <c r="AS13" i="48" s="1"/>
  <c r="AS19" i="33"/>
  <c r="AR22" i="33"/>
  <c r="AR25" i="33"/>
  <c r="AR28" i="33" s="1"/>
  <c r="AR12" i="48" s="1"/>
  <c r="AR10" i="48" s="1"/>
  <c r="AU3" i="33"/>
  <c r="AU13" i="33" s="1"/>
  <c r="AT2" i="33"/>
  <c r="AT1" i="33"/>
  <c r="AT15" i="33"/>
  <c r="AT21" i="33" s="1"/>
  <c r="AT27" i="33" s="1"/>
  <c r="AT14" i="33"/>
  <c r="AT20" i="33" s="1"/>
  <c r="AT26" i="33" s="1"/>
  <c r="AS4" i="33"/>
  <c r="AP83" i="46"/>
  <c r="AS37" i="46"/>
  <c r="AS39" i="46"/>
  <c r="AS36" i="46"/>
  <c r="AS38" i="46"/>
  <c r="AQ9" i="29"/>
  <c r="AQ19" i="29" s="1"/>
  <c r="AS32" i="46"/>
  <c r="AM14" i="29"/>
  <c r="AU3" i="11"/>
  <c r="AT2" i="11"/>
  <c r="AT1" i="11"/>
  <c r="AS4" i="11"/>
  <c r="BA2" i="20"/>
  <c r="AZ4" i="20"/>
  <c r="AZ21" i="20" s="1"/>
  <c r="BB3" i="20"/>
  <c r="BA1" i="20"/>
  <c r="AT2" i="19"/>
  <c r="AU3" i="19"/>
  <c r="AS4" i="19"/>
  <c r="AT1" i="19"/>
  <c r="AO40" i="13"/>
  <c r="AO50" i="13" s="1"/>
  <c r="AO109" i="46"/>
  <c r="AV3" i="46"/>
  <c r="AT4" i="46"/>
  <c r="AU1" i="46"/>
  <c r="AU2" i="46"/>
  <c r="AS47" i="46"/>
  <c r="AS72" i="46" s="1"/>
  <c r="AS48" i="46"/>
  <c r="AT113" i="46"/>
  <c r="AT112" i="46"/>
  <c r="AS2" i="25"/>
  <c r="AT3" i="25"/>
  <c r="AR4" i="25"/>
  <c r="AS1" i="25"/>
  <c r="AU2" i="13"/>
  <c r="AV3" i="13"/>
  <c r="AT4" i="13"/>
  <c r="AU1" i="13"/>
  <c r="AU2" i="10"/>
  <c r="AT4" i="10"/>
  <c r="AV3" i="10"/>
  <c r="AU1" i="10"/>
  <c r="BO2" i="45"/>
  <c r="BP3" i="45"/>
  <c r="BN4" i="45"/>
  <c r="BO1" i="45"/>
  <c r="AW3" i="29"/>
  <c r="AV2" i="29"/>
  <c r="AV1" i="29"/>
  <c r="AU4" i="29"/>
  <c r="AS4" i="24"/>
  <c r="AT1" i="24"/>
  <c r="AT2" i="24"/>
  <c r="AU3" i="24"/>
  <c r="BN21" i="45"/>
  <c r="BN20" i="45"/>
  <c r="AS58" i="13" l="1"/>
  <c r="AS19" i="49" s="1"/>
  <c r="AV21" i="13"/>
  <c r="AV23" i="13"/>
  <c r="AV25" i="13"/>
  <c r="AV24" i="13"/>
  <c r="AV22" i="13"/>
  <c r="AV20" i="13"/>
  <c r="AT19" i="13"/>
  <c r="AT18" i="11"/>
  <c r="AT17" i="13"/>
  <c r="AT16" i="11"/>
  <c r="AT14" i="13"/>
  <c r="AT13" i="11"/>
  <c r="AT11" i="13"/>
  <c r="AT10" i="11"/>
  <c r="AT13" i="13"/>
  <c r="AT12" i="11"/>
  <c r="AT18" i="13"/>
  <c r="AT17" i="11"/>
  <c r="AT15" i="13"/>
  <c r="AT14" i="11"/>
  <c r="AT12" i="13"/>
  <c r="AT11" i="11"/>
  <c r="AV10" i="10"/>
  <c r="AV13" i="10"/>
  <c r="AV16" i="10"/>
  <c r="AV12" i="10"/>
  <c r="AV15" i="10"/>
  <c r="AV9" i="10"/>
  <c r="AV17" i="10"/>
  <c r="AV14" i="10"/>
  <c r="AV8" i="10"/>
  <c r="AV11" i="10"/>
  <c r="BN26" i="45"/>
  <c r="BN31" i="45"/>
  <c r="BN34" i="45"/>
  <c r="BN25" i="45"/>
  <c r="BN32" i="45"/>
  <c r="BN30" i="45"/>
  <c r="BN29" i="45"/>
  <c r="BN28" i="45"/>
  <c r="BN33" i="45"/>
  <c r="BN27" i="45"/>
  <c r="AT10" i="13"/>
  <c r="AT9" i="11"/>
  <c r="AT16" i="13"/>
  <c r="AT15" i="11"/>
  <c r="BN14" i="45"/>
  <c r="BN13" i="45"/>
  <c r="BN10" i="45"/>
  <c r="BN17" i="45"/>
  <c r="BN11" i="45"/>
  <c r="BN12" i="45"/>
  <c r="BN16" i="45"/>
  <c r="BN15" i="45"/>
  <c r="BN9" i="45"/>
  <c r="AV41" i="13"/>
  <c r="AV49" i="13"/>
  <c r="AV44" i="13"/>
  <c r="AV47" i="13"/>
  <c r="AV42" i="13"/>
  <c r="AV43" i="13"/>
  <c r="AV45" i="13"/>
  <c r="AV48" i="13"/>
  <c r="AV46" i="13"/>
  <c r="AS19" i="11"/>
  <c r="AU8" i="29" s="1"/>
  <c r="AS59" i="13"/>
  <c r="AS20" i="49" s="1"/>
  <c r="AS21" i="49" s="1"/>
  <c r="AS10" i="49" s="1"/>
  <c r="BN54" i="45"/>
  <c r="BN55" i="45"/>
  <c r="BN53" i="45"/>
  <c r="AQ35" i="13"/>
  <c r="AQ36" i="13" s="1"/>
  <c r="AP12" i="25" s="1"/>
  <c r="AZ22" i="20"/>
  <c r="BN8" i="45"/>
  <c r="AQ56" i="13"/>
  <c r="AU61" i="13"/>
  <c r="AU60" i="13"/>
  <c r="AO57" i="13"/>
  <c r="AO29" i="49" s="1"/>
  <c r="AO30" i="49" s="1"/>
  <c r="AV33" i="13"/>
  <c r="AV34" i="13"/>
  <c r="AR71" i="46"/>
  <c r="AR31" i="13" s="1"/>
  <c r="AS62" i="46"/>
  <c r="AS88" i="46" s="1"/>
  <c r="AS65" i="46"/>
  <c r="AS91" i="46" s="1"/>
  <c r="AS73" i="46"/>
  <c r="AS99" i="46" s="1"/>
  <c r="AS63" i="46"/>
  <c r="AS89" i="46" s="1"/>
  <c r="AS69" i="46"/>
  <c r="AS95" i="46" s="1"/>
  <c r="AS74" i="46"/>
  <c r="AS100" i="46" s="1"/>
  <c r="AS61" i="46"/>
  <c r="AS87" i="46" s="1"/>
  <c r="AS68" i="46"/>
  <c r="AS94" i="46" s="1"/>
  <c r="AS64" i="46"/>
  <c r="AS90" i="46" s="1"/>
  <c r="AS67" i="46"/>
  <c r="AS93" i="46" s="1"/>
  <c r="AS70" i="46"/>
  <c r="AS96" i="46" s="1"/>
  <c r="AS66" i="46"/>
  <c r="AS92" i="46" s="1"/>
  <c r="AV27" i="46"/>
  <c r="AV26" i="46"/>
  <c r="AV31" i="46"/>
  <c r="AV25" i="46"/>
  <c r="AV28" i="46"/>
  <c r="AV30" i="46"/>
  <c r="AV29" i="46"/>
  <c r="AV21" i="46"/>
  <c r="AV18" i="46"/>
  <c r="AV11" i="46"/>
  <c r="AV19" i="46"/>
  <c r="AV16" i="46"/>
  <c r="AV17" i="46"/>
  <c r="AV22" i="46"/>
  <c r="AV13" i="46"/>
  <c r="AV23" i="46"/>
  <c r="AV10" i="46"/>
  <c r="AV14" i="46"/>
  <c r="AV12" i="46"/>
  <c r="AV15" i="46"/>
  <c r="AR86" i="46"/>
  <c r="AR9" i="13" s="1"/>
  <c r="AR60" i="46"/>
  <c r="AR8" i="13" s="1"/>
  <c r="AU9" i="46"/>
  <c r="BN44" i="45"/>
  <c r="BN48" i="45"/>
  <c r="BN49" i="45"/>
  <c r="BN36" i="45"/>
  <c r="BN52" i="45"/>
  <c r="BN37" i="45"/>
  <c r="BN41" i="45"/>
  <c r="BN51" i="45"/>
  <c r="BN47" i="45"/>
  <c r="BN45" i="45"/>
  <c r="BN39" i="45"/>
  <c r="BN38" i="45"/>
  <c r="BN40" i="45"/>
  <c r="BN42" i="45"/>
  <c r="BN50" i="45"/>
  <c r="AR97" i="46"/>
  <c r="AR32" i="13" s="1"/>
  <c r="AS79" i="46"/>
  <c r="AS105" i="46" s="1"/>
  <c r="AS80" i="46"/>
  <c r="AS106" i="46" s="1"/>
  <c r="AS82" i="46"/>
  <c r="AS108" i="46" s="1"/>
  <c r="AS81" i="46"/>
  <c r="AS107" i="46" s="1"/>
  <c r="AS77" i="46"/>
  <c r="AS103" i="46" s="1"/>
  <c r="AS78" i="46"/>
  <c r="AS104" i="46" s="1"/>
  <c r="AS76" i="46"/>
  <c r="AS102" i="46" s="1"/>
  <c r="AT49" i="46"/>
  <c r="AU24" i="46"/>
  <c r="BO58" i="45"/>
  <c r="BO59" i="45"/>
  <c r="AK13" i="19"/>
  <c r="AR14" i="20" s="1"/>
  <c r="AV13" i="20"/>
  <c r="V15" i="20"/>
  <c r="AS26" i="49"/>
  <c r="AS11" i="49" s="1"/>
  <c r="AN51" i="13"/>
  <c r="AM13" i="25" s="1"/>
  <c r="AM14" i="25" s="1"/>
  <c r="AM17" i="25" s="1"/>
  <c r="AM23" i="25" s="1"/>
  <c r="AP28" i="13"/>
  <c r="AO10" i="25" s="1"/>
  <c r="AO11" i="25" s="1"/>
  <c r="AS98" i="46"/>
  <c r="AU20" i="46"/>
  <c r="AQ27" i="13"/>
  <c r="AM13" i="19"/>
  <c r="AR26" i="49"/>
  <c r="AS13" i="49"/>
  <c r="AS18" i="48" s="1"/>
  <c r="AR18" i="48"/>
  <c r="Q20" i="29"/>
  <c r="Q21" i="29"/>
  <c r="AL13" i="19"/>
  <c r="AM18" i="29"/>
  <c r="AR9" i="25"/>
  <c r="AO62" i="13"/>
  <c r="AQ22" i="25"/>
  <c r="AR26" i="13"/>
  <c r="AR63" i="13" s="1"/>
  <c r="AT51" i="46"/>
  <c r="AT53" i="46"/>
  <c r="AT52" i="46"/>
  <c r="AT54" i="46"/>
  <c r="AT55" i="46"/>
  <c r="AT57" i="46"/>
  <c r="AT56" i="46"/>
  <c r="AT40" i="46"/>
  <c r="AT42" i="46"/>
  <c r="AT41" i="46"/>
  <c r="AT44" i="46"/>
  <c r="AT43" i="46"/>
  <c r="AT45" i="46"/>
  <c r="AV3" i="33"/>
  <c r="AV13" i="33" s="1"/>
  <c r="AU15" i="33"/>
  <c r="AU21" i="33" s="1"/>
  <c r="AU27" i="33" s="1"/>
  <c r="AT4" i="33"/>
  <c r="AU14" i="33"/>
  <c r="AU20" i="33" s="1"/>
  <c r="AU26" i="33" s="1"/>
  <c r="AU2" i="33"/>
  <c r="AU1" i="33"/>
  <c r="AS25" i="33"/>
  <c r="AS28" i="33" s="1"/>
  <c r="AS12" i="48" s="1"/>
  <c r="AS10" i="48" s="1"/>
  <c r="AS22" i="33"/>
  <c r="AT19" i="33"/>
  <c r="AT16" i="33"/>
  <c r="AT13" i="48" s="1"/>
  <c r="AR9" i="29"/>
  <c r="AQ83" i="46"/>
  <c r="AT36" i="46"/>
  <c r="AT38" i="46"/>
  <c r="AT37" i="46"/>
  <c r="AT39" i="46"/>
  <c r="AP12" i="19"/>
  <c r="AV3" i="11"/>
  <c r="AT4" i="11"/>
  <c r="AU2" i="11"/>
  <c r="AU1" i="11"/>
  <c r="AQ40" i="13"/>
  <c r="AQ57" i="13" s="1"/>
  <c r="BC3" i="20"/>
  <c r="BB2" i="20"/>
  <c r="BB1" i="20"/>
  <c r="BA4" i="20"/>
  <c r="BA21" i="20" s="1"/>
  <c r="AU2" i="19"/>
  <c r="AV3" i="19"/>
  <c r="AT4" i="19"/>
  <c r="AU1" i="19"/>
  <c r="AP40" i="13"/>
  <c r="AP50" i="13" s="1"/>
  <c r="AP109" i="46"/>
  <c r="AT47" i="46"/>
  <c r="AT72" i="46" s="1"/>
  <c r="AT48" i="46"/>
  <c r="AR39" i="13"/>
  <c r="AV2" i="46"/>
  <c r="AW3" i="46"/>
  <c r="AU4" i="46"/>
  <c r="AV1" i="46"/>
  <c r="AV2" i="13"/>
  <c r="AW3" i="13"/>
  <c r="AU4" i="13"/>
  <c r="AV1" i="13"/>
  <c r="AT2" i="25"/>
  <c r="AU3" i="25"/>
  <c r="AT1" i="25"/>
  <c r="AS4" i="25"/>
  <c r="AU112" i="46"/>
  <c r="AU113" i="46"/>
  <c r="AT32" i="46"/>
  <c r="AW2" i="29"/>
  <c r="AX3" i="29"/>
  <c r="AW1" i="29"/>
  <c r="AV4" i="29"/>
  <c r="BO21" i="45"/>
  <c r="BO20" i="45"/>
  <c r="AV2" i="10"/>
  <c r="AU4" i="10"/>
  <c r="AW3" i="10"/>
  <c r="AV1" i="10"/>
  <c r="AT4" i="24"/>
  <c r="AU1" i="24"/>
  <c r="AV3" i="24"/>
  <c r="AU2" i="24"/>
  <c r="BP2" i="45"/>
  <c r="BQ3" i="45"/>
  <c r="BO4" i="45"/>
  <c r="BP1" i="45"/>
  <c r="AT58" i="13" l="1"/>
  <c r="AT19" i="49" s="1"/>
  <c r="AW21" i="13"/>
  <c r="AW23" i="13"/>
  <c r="AW25" i="13"/>
  <c r="AW24" i="13"/>
  <c r="AW22" i="13"/>
  <c r="AW20" i="13"/>
  <c r="AU10" i="13"/>
  <c r="AU9" i="11"/>
  <c r="AU13" i="13"/>
  <c r="AU12" i="11"/>
  <c r="AU16" i="13"/>
  <c r="AU15" i="11"/>
  <c r="AU19" i="13"/>
  <c r="AU18" i="11"/>
  <c r="AU11" i="13"/>
  <c r="AU10" i="11"/>
  <c r="AU17" i="13"/>
  <c r="AU16" i="11"/>
  <c r="AU14" i="13"/>
  <c r="AU13" i="11"/>
  <c r="AU18" i="13"/>
  <c r="AU17" i="11"/>
  <c r="AU15" i="13"/>
  <c r="AU14" i="11"/>
  <c r="AU12" i="13"/>
  <c r="AU11" i="11"/>
  <c r="BO30" i="45"/>
  <c r="BO26" i="45"/>
  <c r="BO25" i="45"/>
  <c r="BO31" i="45"/>
  <c r="BO32" i="45"/>
  <c r="BO33" i="45"/>
  <c r="BO27" i="45"/>
  <c r="BO29" i="45"/>
  <c r="BO34" i="45"/>
  <c r="BO28" i="45"/>
  <c r="AW17" i="10"/>
  <c r="AW10" i="10"/>
  <c r="AW12" i="10"/>
  <c r="AW15" i="10"/>
  <c r="AW8" i="10"/>
  <c r="AW16" i="10"/>
  <c r="AW11" i="10"/>
  <c r="AW13" i="10"/>
  <c r="AW14" i="10"/>
  <c r="AW9" i="10"/>
  <c r="BO14" i="45"/>
  <c r="BO16" i="45"/>
  <c r="BO10" i="45"/>
  <c r="BO17" i="45"/>
  <c r="BO11" i="45"/>
  <c r="BO15" i="45"/>
  <c r="BO12" i="45"/>
  <c r="BO13" i="45"/>
  <c r="BO9" i="45"/>
  <c r="AW46" i="13"/>
  <c r="AW41" i="13"/>
  <c r="AW44" i="13"/>
  <c r="AW45" i="13"/>
  <c r="AW48" i="13"/>
  <c r="AW42" i="13"/>
  <c r="AW47" i="13"/>
  <c r="AW49" i="13"/>
  <c r="AW43" i="13"/>
  <c r="AS9" i="49"/>
  <c r="AS16" i="48" s="1"/>
  <c r="AT19" i="11"/>
  <c r="AV8" i="29" s="1"/>
  <c r="AT59" i="13"/>
  <c r="AT20" i="49" s="1"/>
  <c r="AT21" i="49" s="1"/>
  <c r="AT10" i="49" s="1"/>
  <c r="AQ50" i="13"/>
  <c r="AQ51" i="13" s="1"/>
  <c r="BO54" i="45"/>
  <c r="BO55" i="45"/>
  <c r="BO53" i="45"/>
  <c r="BA22" i="20"/>
  <c r="BO8" i="45"/>
  <c r="AM15" i="25"/>
  <c r="AV61" i="13"/>
  <c r="AS71" i="46"/>
  <c r="AS31" i="13" s="1"/>
  <c r="AR56" i="13"/>
  <c r="AV60" i="13"/>
  <c r="AP57" i="13"/>
  <c r="AP29" i="49" s="1"/>
  <c r="AP30" i="49" s="1"/>
  <c r="AW34" i="13"/>
  <c r="AW33" i="13"/>
  <c r="AR35" i="13"/>
  <c r="AR36" i="13" s="1"/>
  <c r="AQ12" i="25" s="1"/>
  <c r="AT65" i="46"/>
  <c r="AT91" i="46" s="1"/>
  <c r="AT73" i="46"/>
  <c r="AT99" i="46" s="1"/>
  <c r="AT64" i="46"/>
  <c r="AT90" i="46" s="1"/>
  <c r="AT70" i="46"/>
  <c r="AT96" i="46" s="1"/>
  <c r="AT62" i="46"/>
  <c r="AT88" i="46" s="1"/>
  <c r="AT68" i="46"/>
  <c r="AT94" i="46" s="1"/>
  <c r="AT63" i="46"/>
  <c r="AT89" i="46" s="1"/>
  <c r="AT69" i="46"/>
  <c r="AT95" i="46" s="1"/>
  <c r="AT74" i="46"/>
  <c r="AT100" i="46" s="1"/>
  <c r="AT61" i="46"/>
  <c r="AT87" i="46" s="1"/>
  <c r="AT66" i="46"/>
  <c r="AT92" i="46" s="1"/>
  <c r="AT67" i="46"/>
  <c r="AT93" i="46" s="1"/>
  <c r="AS86" i="46"/>
  <c r="AS9" i="13" s="1"/>
  <c r="AW28" i="46"/>
  <c r="AW27" i="46"/>
  <c r="AW30" i="46"/>
  <c r="AW25" i="46"/>
  <c r="AW26" i="46"/>
  <c r="AW29" i="46"/>
  <c r="AW31" i="46"/>
  <c r="AW15" i="46"/>
  <c r="AW19" i="46"/>
  <c r="AW16" i="46"/>
  <c r="AW22" i="46"/>
  <c r="AW12" i="46"/>
  <c r="AW17" i="46"/>
  <c r="AW18" i="46"/>
  <c r="AW13" i="46"/>
  <c r="AW21" i="46"/>
  <c r="AW11" i="46"/>
  <c r="AW23" i="46"/>
  <c r="AW10" i="46"/>
  <c r="AW14" i="46"/>
  <c r="AS60" i="46"/>
  <c r="AS8" i="13" s="1"/>
  <c r="AV9" i="46"/>
  <c r="AS101" i="46"/>
  <c r="BO42" i="45"/>
  <c r="BO37" i="45"/>
  <c r="BO49" i="45"/>
  <c r="BO38" i="45"/>
  <c r="BO44" i="45"/>
  <c r="BO41" i="45"/>
  <c r="BO51" i="45"/>
  <c r="BO40" i="45"/>
  <c r="BO45" i="45"/>
  <c r="BO52" i="45"/>
  <c r="BO48" i="45"/>
  <c r="BO39" i="45"/>
  <c r="BO50" i="45"/>
  <c r="BO47" i="45"/>
  <c r="BO36" i="45"/>
  <c r="AS97" i="46"/>
  <c r="AS32" i="13" s="1"/>
  <c r="AT82" i="46"/>
  <c r="AT108" i="46" s="1"/>
  <c r="AT79" i="46"/>
  <c r="AT105" i="46" s="1"/>
  <c r="AS75" i="46"/>
  <c r="AS39" i="13" s="1"/>
  <c r="AT80" i="46"/>
  <c r="AT106" i="46" s="1"/>
  <c r="AT77" i="46"/>
  <c r="AT103" i="46" s="1"/>
  <c r="AT78" i="46"/>
  <c r="AT104" i="46" s="1"/>
  <c r="AT81" i="46"/>
  <c r="AT107" i="46" s="1"/>
  <c r="AT76" i="46"/>
  <c r="AT102" i="46" s="1"/>
  <c r="AU49" i="46"/>
  <c r="AV24" i="46"/>
  <c r="AS9" i="25"/>
  <c r="AT26" i="49"/>
  <c r="AT11" i="49" s="1"/>
  <c r="BP58" i="45"/>
  <c r="BP59" i="45"/>
  <c r="AQ29" i="49"/>
  <c r="AS14" i="20"/>
  <c r="AW13" i="20"/>
  <c r="AT14" i="20"/>
  <c r="AN53" i="13"/>
  <c r="AN64" i="13"/>
  <c r="AO13" i="29" s="1"/>
  <c r="AO14" i="29" s="1"/>
  <c r="AO18" i="29" s="1"/>
  <c r="AO51" i="13"/>
  <c r="AN13" i="25" s="1"/>
  <c r="AN14" i="25" s="1"/>
  <c r="AO64" i="13"/>
  <c r="AP13" i="29" s="1"/>
  <c r="AQ28" i="13"/>
  <c r="AP10" i="25" s="1"/>
  <c r="AP11" i="25" s="1"/>
  <c r="AT98" i="46"/>
  <c r="AV20" i="46"/>
  <c r="AR27" i="13"/>
  <c r="AT13" i="49"/>
  <c r="AR11" i="49"/>
  <c r="P14" i="19"/>
  <c r="R17" i="29"/>
  <c r="P17" i="48"/>
  <c r="AP62" i="13"/>
  <c r="AQ12" i="19"/>
  <c r="AR19" i="29"/>
  <c r="AR22" i="25"/>
  <c r="AS26" i="13"/>
  <c r="AS63" i="13" s="1"/>
  <c r="AU52" i="46"/>
  <c r="AU54" i="46"/>
  <c r="AU51" i="46"/>
  <c r="AU53" i="46"/>
  <c r="AU56" i="46"/>
  <c r="AU55" i="46"/>
  <c r="AU57" i="46"/>
  <c r="AU41" i="46"/>
  <c r="AU40" i="46"/>
  <c r="AU42" i="46"/>
  <c r="AU43" i="46"/>
  <c r="AU44" i="46"/>
  <c r="AU45" i="46"/>
  <c r="AT25" i="33"/>
  <c r="AT28" i="33" s="1"/>
  <c r="AT12" i="48" s="1"/>
  <c r="AT10" i="48" s="1"/>
  <c r="AT22" i="33"/>
  <c r="AU16" i="33"/>
  <c r="AU13" i="48" s="1"/>
  <c r="AU19" i="33"/>
  <c r="AV15" i="33"/>
  <c r="AV21" i="33" s="1"/>
  <c r="AV27" i="33" s="1"/>
  <c r="AV14" i="33"/>
  <c r="AV20" i="33" s="1"/>
  <c r="AV26" i="33" s="1"/>
  <c r="AV1" i="33"/>
  <c r="AW3" i="33"/>
  <c r="AW13" i="33" s="1"/>
  <c r="AV2" i="33"/>
  <c r="AU4" i="33"/>
  <c r="AS9" i="29"/>
  <c r="AQ109" i="46"/>
  <c r="AR83" i="46"/>
  <c r="AU37" i="46"/>
  <c r="AU39" i="46"/>
  <c r="AU36" i="46"/>
  <c r="AU38" i="46"/>
  <c r="AU32" i="46"/>
  <c r="AW3" i="11"/>
  <c r="AV2" i="11"/>
  <c r="AU4" i="11"/>
  <c r="AV1" i="11"/>
  <c r="BB4" i="20"/>
  <c r="BB21" i="20" s="1"/>
  <c r="BC2" i="20"/>
  <c r="BC1" i="20"/>
  <c r="BD3" i="20"/>
  <c r="AV2" i="19"/>
  <c r="AW3" i="19"/>
  <c r="AU4" i="19"/>
  <c r="AV1" i="19"/>
  <c r="AR40" i="13"/>
  <c r="AR57" i="13" s="1"/>
  <c r="AU47" i="46"/>
  <c r="AU72" i="46" s="1"/>
  <c r="AU48" i="46"/>
  <c r="AU2" i="25"/>
  <c r="AV3" i="25"/>
  <c r="AT4" i="25"/>
  <c r="AU1" i="25"/>
  <c r="AW2" i="13"/>
  <c r="AX3" i="13"/>
  <c r="AW1" i="13"/>
  <c r="AV4" i="13"/>
  <c r="AW2" i="46"/>
  <c r="AX3" i="46"/>
  <c r="AW1" i="46"/>
  <c r="AV4" i="46"/>
  <c r="AV113" i="46"/>
  <c r="AV112" i="46"/>
  <c r="BQ2" i="45"/>
  <c r="BR3" i="45"/>
  <c r="BQ1" i="45"/>
  <c r="BP4" i="45"/>
  <c r="AW2" i="10"/>
  <c r="AX3" i="10"/>
  <c r="AV4" i="10"/>
  <c r="AW1" i="10"/>
  <c r="BP21" i="45"/>
  <c r="BP20" i="45"/>
  <c r="AW3" i="24"/>
  <c r="AV2" i="24"/>
  <c r="AV1" i="24"/>
  <c r="AU4" i="24"/>
  <c r="AY3" i="29"/>
  <c r="AX2" i="29"/>
  <c r="AX1" i="29"/>
  <c r="AW4" i="29"/>
  <c r="AX21" i="13" l="1"/>
  <c r="AX24" i="13"/>
  <c r="AX25" i="13"/>
  <c r="AX23" i="13"/>
  <c r="AX20" i="13"/>
  <c r="AX22" i="13"/>
  <c r="AU58" i="13"/>
  <c r="AU19" i="49" s="1"/>
  <c r="AN17" i="25"/>
  <c r="AN23" i="25" s="1"/>
  <c r="AV13" i="13"/>
  <c r="AV12" i="11"/>
  <c r="AV18" i="13"/>
  <c r="AV17" i="11"/>
  <c r="AV10" i="13"/>
  <c r="AV9" i="11"/>
  <c r="AV17" i="13"/>
  <c r="AV16" i="11"/>
  <c r="AV14" i="13"/>
  <c r="AV13" i="11"/>
  <c r="AV12" i="13"/>
  <c r="AV11" i="11"/>
  <c r="AV19" i="13"/>
  <c r="AV18" i="11"/>
  <c r="AV15" i="13"/>
  <c r="AV14" i="11"/>
  <c r="AV16" i="13"/>
  <c r="AV15" i="11"/>
  <c r="BP32" i="45"/>
  <c r="BP26" i="45"/>
  <c r="BP30" i="45"/>
  <c r="BP31" i="45"/>
  <c r="BP33" i="45"/>
  <c r="BP27" i="45"/>
  <c r="BP29" i="45"/>
  <c r="BP34" i="45"/>
  <c r="BP25" i="45"/>
  <c r="BP28" i="45"/>
  <c r="AX14" i="10"/>
  <c r="AX17" i="10"/>
  <c r="AX10" i="10"/>
  <c r="AX15" i="10"/>
  <c r="AX12" i="10"/>
  <c r="AX8" i="10"/>
  <c r="AX16" i="10"/>
  <c r="AX11" i="10"/>
  <c r="AX13" i="10"/>
  <c r="AX9" i="10"/>
  <c r="AV11" i="13"/>
  <c r="AV10" i="11"/>
  <c r="BP11" i="45"/>
  <c r="BP10" i="45"/>
  <c r="BP14" i="45"/>
  <c r="BP16" i="45"/>
  <c r="BP13" i="45"/>
  <c r="BP15" i="45"/>
  <c r="BP17" i="45"/>
  <c r="BP12" i="45"/>
  <c r="BP9" i="45"/>
  <c r="AX43" i="13"/>
  <c r="AX46" i="13"/>
  <c r="AX41" i="13"/>
  <c r="AX49" i="13"/>
  <c r="AX45" i="13"/>
  <c r="AX48" i="13"/>
  <c r="AX42" i="13"/>
  <c r="AX47" i="13"/>
  <c r="AX44" i="13"/>
  <c r="AU59" i="13"/>
  <c r="AU20" i="49" s="1"/>
  <c r="AU19" i="11"/>
  <c r="AW8" i="29" s="1"/>
  <c r="AT9" i="49"/>
  <c r="AT16" i="48" s="1"/>
  <c r="AR50" i="13"/>
  <c r="AR51" i="13" s="1"/>
  <c r="AQ13" i="25" s="1"/>
  <c r="BP55" i="45"/>
  <c r="BP54" i="45"/>
  <c r="BP53" i="45"/>
  <c r="AS35" i="13"/>
  <c r="AS36" i="13" s="1"/>
  <c r="AR12" i="25" s="1"/>
  <c r="BB22" i="20"/>
  <c r="BP8" i="45"/>
  <c r="AW61" i="13"/>
  <c r="AX33" i="13"/>
  <c r="AX34" i="13"/>
  <c r="AW60" i="13"/>
  <c r="AQ62" i="13"/>
  <c r="AQ64" i="13" s="1"/>
  <c r="AR13" i="29" s="1"/>
  <c r="AS56" i="13"/>
  <c r="AT71" i="46"/>
  <c r="AT31" i="13" s="1"/>
  <c r="AT60" i="46"/>
  <c r="AT8" i="13" s="1"/>
  <c r="AU65" i="46"/>
  <c r="AU91" i="46" s="1"/>
  <c r="AU74" i="46"/>
  <c r="AU100" i="46" s="1"/>
  <c r="AU73" i="46"/>
  <c r="AU99" i="46" s="1"/>
  <c r="AU66" i="46"/>
  <c r="AU92" i="46" s="1"/>
  <c r="AU64" i="46"/>
  <c r="AU90" i="46" s="1"/>
  <c r="AU63" i="46"/>
  <c r="AU89" i="46" s="1"/>
  <c r="AU69" i="46"/>
  <c r="AU95" i="46" s="1"/>
  <c r="AU67" i="46"/>
  <c r="AU93" i="46" s="1"/>
  <c r="AU61" i="46"/>
  <c r="AU87" i="46" s="1"/>
  <c r="AU70" i="46"/>
  <c r="AU96" i="46" s="1"/>
  <c r="AU62" i="46"/>
  <c r="AU88" i="46" s="1"/>
  <c r="AU68" i="46"/>
  <c r="AU94" i="46" s="1"/>
  <c r="AX29" i="46"/>
  <c r="AX28" i="46"/>
  <c r="AX25" i="46"/>
  <c r="AX26" i="46"/>
  <c r="AX31" i="46"/>
  <c r="AX27" i="46"/>
  <c r="AX30" i="46"/>
  <c r="AX23" i="46"/>
  <c r="AX12" i="46"/>
  <c r="AX13" i="46"/>
  <c r="AX17" i="46"/>
  <c r="AX15" i="46"/>
  <c r="AX18" i="46"/>
  <c r="AX19" i="46"/>
  <c r="AX16" i="46"/>
  <c r="AX22" i="46"/>
  <c r="AX11" i="46"/>
  <c r="AX14" i="46"/>
  <c r="AX21" i="46"/>
  <c r="AX10" i="46"/>
  <c r="AT86" i="46"/>
  <c r="AT9" i="13" s="1"/>
  <c r="AW9" i="46"/>
  <c r="AT101" i="46"/>
  <c r="BP49" i="45"/>
  <c r="BP38" i="45"/>
  <c r="BP41" i="45"/>
  <c r="BP40" i="45"/>
  <c r="BP44" i="45"/>
  <c r="BP45" i="45"/>
  <c r="BP36" i="45"/>
  <c r="BP42" i="45"/>
  <c r="BP52" i="45"/>
  <c r="BP37" i="45"/>
  <c r="BP48" i="45"/>
  <c r="BP39" i="45"/>
  <c r="BP51" i="45"/>
  <c r="BP50" i="45"/>
  <c r="BP47" i="45"/>
  <c r="AT97" i="46"/>
  <c r="AT32" i="13" s="1"/>
  <c r="AU76" i="46"/>
  <c r="AU102" i="46" s="1"/>
  <c r="AU79" i="46"/>
  <c r="AU105" i="46" s="1"/>
  <c r="AU82" i="46"/>
  <c r="AU108" i="46" s="1"/>
  <c r="AU77" i="46"/>
  <c r="AU103" i="46" s="1"/>
  <c r="AU80" i="46"/>
  <c r="AU106" i="46" s="1"/>
  <c r="AT75" i="46"/>
  <c r="AT39" i="13" s="1"/>
  <c r="AU81" i="46"/>
  <c r="AU107" i="46" s="1"/>
  <c r="AU78" i="46"/>
  <c r="AU104" i="46" s="1"/>
  <c r="AV49" i="46"/>
  <c r="AW24" i="46"/>
  <c r="AQ30" i="49"/>
  <c r="BQ58" i="45"/>
  <c r="BQ59" i="45"/>
  <c r="W15" i="20"/>
  <c r="AX13" i="20"/>
  <c r="AR29" i="49"/>
  <c r="AU26" i="49"/>
  <c r="AP51" i="13"/>
  <c r="AO13" i="25" s="1"/>
  <c r="AO14" i="25" s="1"/>
  <c r="AO17" i="25" s="1"/>
  <c r="AO23" i="25" s="1"/>
  <c r="AP64" i="13"/>
  <c r="AQ13" i="29" s="1"/>
  <c r="AO53" i="13"/>
  <c r="AP14" i="29" s="1"/>
  <c r="AR28" i="13"/>
  <c r="AQ10" i="25" s="1"/>
  <c r="AQ11" i="25" s="1"/>
  <c r="AU98" i="46"/>
  <c r="AW20" i="46"/>
  <c r="AS27" i="13"/>
  <c r="AU13" i="49"/>
  <c r="AU18" i="48" s="1"/>
  <c r="AR9" i="49"/>
  <c r="AT18" i="48"/>
  <c r="R20" i="29"/>
  <c r="R21" i="29"/>
  <c r="AP13" i="25"/>
  <c r="AP14" i="25" s="1"/>
  <c r="AQ53" i="13"/>
  <c r="AR12" i="19"/>
  <c r="AS19" i="29"/>
  <c r="AS22" i="25"/>
  <c r="AT26" i="13"/>
  <c r="AT63" i="13" s="1"/>
  <c r="AN15" i="25"/>
  <c r="AT9" i="25"/>
  <c r="AV51" i="46"/>
  <c r="AV53" i="46"/>
  <c r="AV52" i="46"/>
  <c r="AV54" i="46"/>
  <c r="AV55" i="46"/>
  <c r="AV57" i="46"/>
  <c r="AV56" i="46"/>
  <c r="AV40" i="46"/>
  <c r="AV42" i="46"/>
  <c r="AV41" i="46"/>
  <c r="AV44" i="46"/>
  <c r="AV43" i="46"/>
  <c r="AV45" i="46"/>
  <c r="AS83" i="46"/>
  <c r="AV16" i="33"/>
  <c r="AV13" i="48" s="1"/>
  <c r="AV19" i="33"/>
  <c r="AU25" i="33"/>
  <c r="AU28" i="33" s="1"/>
  <c r="AU12" i="48" s="1"/>
  <c r="AU22" i="33"/>
  <c r="AW14" i="33"/>
  <c r="AW20" i="33" s="1"/>
  <c r="AW26" i="33" s="1"/>
  <c r="AW2" i="33"/>
  <c r="AW1" i="33"/>
  <c r="AX3" i="33"/>
  <c r="AX13" i="33" s="1"/>
  <c r="AW15" i="33"/>
  <c r="AW21" i="33" s="1"/>
  <c r="AW27" i="33" s="1"/>
  <c r="AV4" i="33"/>
  <c r="AU9" i="29"/>
  <c r="AU19" i="29" s="1"/>
  <c r="AV36" i="46"/>
  <c r="AV38" i="46"/>
  <c r="AV37" i="46"/>
  <c r="AV39" i="46"/>
  <c r="AR109" i="46"/>
  <c r="AN13" i="19"/>
  <c r="AT9" i="29"/>
  <c r="AT19" i="29" s="1"/>
  <c r="AX3" i="11"/>
  <c r="AW2" i="11"/>
  <c r="AV4" i="11"/>
  <c r="AW1" i="11"/>
  <c r="BE3" i="20"/>
  <c r="BD2" i="20"/>
  <c r="BD1" i="20"/>
  <c r="BC4" i="20"/>
  <c r="BC21" i="20" s="1"/>
  <c r="AW2" i="19"/>
  <c r="AX3" i="19"/>
  <c r="AV4" i="19"/>
  <c r="AW1" i="19"/>
  <c r="AX2" i="46"/>
  <c r="AY3" i="46"/>
  <c r="AW4" i="46"/>
  <c r="AX1" i="46"/>
  <c r="AW113" i="46"/>
  <c r="AW112" i="46"/>
  <c r="AX2" i="13"/>
  <c r="AY3" i="13"/>
  <c r="AX1" i="13"/>
  <c r="AW4" i="13"/>
  <c r="AV2" i="25"/>
  <c r="AW3" i="25"/>
  <c r="AU4" i="25"/>
  <c r="AV1" i="25"/>
  <c r="AV47" i="46"/>
  <c r="AV72" i="46" s="1"/>
  <c r="AV48" i="46"/>
  <c r="AV32" i="46"/>
  <c r="AY2" i="29"/>
  <c r="AZ3" i="29"/>
  <c r="AX4" i="29"/>
  <c r="AY1" i="29"/>
  <c r="BR2" i="45"/>
  <c r="BS3" i="45"/>
  <c r="BT3" i="45" s="1"/>
  <c r="BS4" i="45" s="1"/>
  <c r="BQ4" i="45"/>
  <c r="BR1" i="45"/>
  <c r="AV4" i="24"/>
  <c r="AW1" i="24"/>
  <c r="AW2" i="24"/>
  <c r="AX3" i="24"/>
  <c r="AX2" i="10"/>
  <c r="AW4" i="10"/>
  <c r="AY3" i="10"/>
  <c r="AX1" i="10"/>
  <c r="BQ21" i="45"/>
  <c r="BQ20" i="45"/>
  <c r="AV58" i="13" l="1"/>
  <c r="AV19" i="49" s="1"/>
  <c r="AU21" i="49"/>
  <c r="AU10" i="49" s="1"/>
  <c r="AY23" i="13"/>
  <c r="AY21" i="13"/>
  <c r="AY20" i="13"/>
  <c r="AY22" i="13"/>
  <c r="AY25" i="13"/>
  <c r="AY24" i="13"/>
  <c r="AP17" i="25"/>
  <c r="AP23" i="25" s="1"/>
  <c r="AW11" i="13"/>
  <c r="AW10" i="11"/>
  <c r="AW15" i="13"/>
  <c r="AW14" i="11"/>
  <c r="AW13" i="13"/>
  <c r="AW12" i="11"/>
  <c r="AW18" i="13"/>
  <c r="AW17" i="11"/>
  <c r="AW10" i="13"/>
  <c r="AW9" i="11"/>
  <c r="AW14" i="13"/>
  <c r="AW13" i="11"/>
  <c r="AW17" i="13"/>
  <c r="AW16" i="11"/>
  <c r="AW12" i="13"/>
  <c r="AW11" i="11"/>
  <c r="AW19" i="13"/>
  <c r="AW18" i="11"/>
  <c r="AW16" i="13"/>
  <c r="AW15" i="11"/>
  <c r="BQ27" i="45"/>
  <c r="BQ26" i="45"/>
  <c r="BQ29" i="45"/>
  <c r="BQ32" i="45"/>
  <c r="BQ33" i="45"/>
  <c r="BQ30" i="45"/>
  <c r="BQ28" i="45"/>
  <c r="BQ31" i="45"/>
  <c r="BQ25" i="45"/>
  <c r="BQ34" i="45"/>
  <c r="AY11" i="10"/>
  <c r="AY14" i="10"/>
  <c r="AY17" i="10"/>
  <c r="AY8" i="10"/>
  <c r="AY13" i="10"/>
  <c r="AY10" i="10"/>
  <c r="AY12" i="10"/>
  <c r="AY15" i="10"/>
  <c r="AY9" i="10"/>
  <c r="AY16" i="10"/>
  <c r="BQ11" i="45"/>
  <c r="BQ16" i="45"/>
  <c r="BQ12" i="45"/>
  <c r="BQ10" i="45"/>
  <c r="BQ15" i="45"/>
  <c r="BQ14" i="45"/>
  <c r="BQ13" i="45"/>
  <c r="BQ17" i="45"/>
  <c r="BQ9" i="45"/>
  <c r="AY48" i="13"/>
  <c r="AY43" i="13"/>
  <c r="AY46" i="13"/>
  <c r="AY45" i="13"/>
  <c r="AY42" i="13"/>
  <c r="AY47" i="13"/>
  <c r="AY44" i="13"/>
  <c r="AY49" i="13"/>
  <c r="AY41" i="13"/>
  <c r="AV19" i="11"/>
  <c r="AX8" i="29" s="1"/>
  <c r="AV59" i="13"/>
  <c r="AV20" i="49" s="1"/>
  <c r="AV21" i="49" s="1"/>
  <c r="AV10" i="49" s="1"/>
  <c r="BQ55" i="45"/>
  <c r="BQ54" i="45"/>
  <c r="BQ53" i="45"/>
  <c r="BC22" i="20"/>
  <c r="BQ8" i="45"/>
  <c r="AO15" i="25"/>
  <c r="AT35" i="13"/>
  <c r="AT36" i="13" s="1"/>
  <c r="AS12" i="25" s="1"/>
  <c r="AU71" i="46"/>
  <c r="AU31" i="13" s="1"/>
  <c r="AX60" i="13"/>
  <c r="AX61" i="13"/>
  <c r="AT56" i="13"/>
  <c r="AY33" i="13"/>
  <c r="AY34" i="13"/>
  <c r="AR62" i="13"/>
  <c r="AR64" i="13" s="1"/>
  <c r="AS13" i="29" s="1"/>
  <c r="AV73" i="46"/>
  <c r="AV99" i="46" s="1"/>
  <c r="AV64" i="46"/>
  <c r="AV90" i="46" s="1"/>
  <c r="AV67" i="46"/>
  <c r="AV93" i="46" s="1"/>
  <c r="AV65" i="46"/>
  <c r="AV91" i="46" s="1"/>
  <c r="AV66" i="46"/>
  <c r="AV92" i="46" s="1"/>
  <c r="AV74" i="46"/>
  <c r="AV100" i="46" s="1"/>
  <c r="AV70" i="46"/>
  <c r="AV96" i="46" s="1"/>
  <c r="AV62" i="46"/>
  <c r="AV88" i="46" s="1"/>
  <c r="AV68" i="46"/>
  <c r="AV94" i="46" s="1"/>
  <c r="AV63" i="46"/>
  <c r="AV89" i="46" s="1"/>
  <c r="AV69" i="46"/>
  <c r="AV95" i="46" s="1"/>
  <c r="AV61" i="46"/>
  <c r="AV87" i="46" s="1"/>
  <c r="AY30" i="46"/>
  <c r="AY29" i="46"/>
  <c r="AY26" i="46"/>
  <c r="AY31" i="46"/>
  <c r="AY28" i="46"/>
  <c r="AY27" i="46"/>
  <c r="AY25" i="46"/>
  <c r="AY14" i="46"/>
  <c r="AY18" i="46"/>
  <c r="AY16" i="46"/>
  <c r="AY15" i="46"/>
  <c r="AY19" i="46"/>
  <c r="AY13" i="46"/>
  <c r="AY17" i="46"/>
  <c r="AY23" i="46"/>
  <c r="AY21" i="46"/>
  <c r="AY22" i="46"/>
  <c r="AY11" i="46"/>
  <c r="AY10" i="46"/>
  <c r="AY12" i="46"/>
  <c r="AU86" i="46"/>
  <c r="AU9" i="13" s="1"/>
  <c r="AU60" i="46"/>
  <c r="AU8" i="13" s="1"/>
  <c r="AX9" i="46"/>
  <c r="AU101" i="46"/>
  <c r="BQ44" i="45"/>
  <c r="BQ42" i="45"/>
  <c r="BQ37" i="45"/>
  <c r="BQ48" i="45"/>
  <c r="BQ36" i="45"/>
  <c r="BQ40" i="45"/>
  <c r="BQ49" i="45"/>
  <c r="BQ39" i="45"/>
  <c r="BQ41" i="45"/>
  <c r="BQ50" i="45"/>
  <c r="BQ52" i="45"/>
  <c r="BQ38" i="45"/>
  <c r="BQ51" i="45"/>
  <c r="BQ45" i="45"/>
  <c r="BQ47" i="45"/>
  <c r="AU97" i="46"/>
  <c r="AU32" i="13" s="1"/>
  <c r="AV78" i="46"/>
  <c r="AV104" i="46" s="1"/>
  <c r="AV76" i="46"/>
  <c r="AV102" i="46" s="1"/>
  <c r="AV81" i="46"/>
  <c r="AV107" i="46" s="1"/>
  <c r="AV82" i="46"/>
  <c r="AV108" i="46" s="1"/>
  <c r="AV80" i="46"/>
  <c r="AV106" i="46" s="1"/>
  <c r="AV77" i="46"/>
  <c r="AV103" i="46" s="1"/>
  <c r="AU75" i="46"/>
  <c r="AU39" i="13" s="1"/>
  <c r="AV79" i="46"/>
  <c r="AV105" i="46" s="1"/>
  <c r="AW49" i="46"/>
  <c r="AX24" i="46"/>
  <c r="BR58" i="45"/>
  <c r="BR59" i="45"/>
  <c r="AU14" i="20"/>
  <c r="AY13" i="20"/>
  <c r="AQ14" i="25"/>
  <c r="AQ17" i="25" s="1"/>
  <c r="AQ23" i="25" s="1"/>
  <c r="AP53" i="13"/>
  <c r="AQ14" i="29" s="1"/>
  <c r="AQ18" i="29" s="1"/>
  <c r="AS28" i="13"/>
  <c r="AR10" i="25" s="1"/>
  <c r="AR11" i="25" s="1"/>
  <c r="AV98" i="46"/>
  <c r="AX20" i="46"/>
  <c r="AU10" i="48"/>
  <c r="AT27" i="13"/>
  <c r="AR30" i="49"/>
  <c r="AU11" i="49"/>
  <c r="AV13" i="49"/>
  <c r="AR16" i="48"/>
  <c r="AR14" i="29"/>
  <c r="AQ13" i="19" s="1"/>
  <c r="Q14" i="19"/>
  <c r="AP18" i="29"/>
  <c r="AO13" i="19"/>
  <c r="S17" i="29"/>
  <c r="Q17" i="48"/>
  <c r="AT22" i="25"/>
  <c r="AU26" i="13"/>
  <c r="AU63" i="13" s="1"/>
  <c r="AU9" i="25"/>
  <c r="AP15" i="25"/>
  <c r="AW52" i="46"/>
  <c r="AW54" i="46"/>
  <c r="AW51" i="46"/>
  <c r="AW53" i="46"/>
  <c r="AW56" i="46"/>
  <c r="AW55" i="46"/>
  <c r="AW57" i="46"/>
  <c r="AW41" i="46"/>
  <c r="AW40" i="46"/>
  <c r="AW42" i="46"/>
  <c r="AW43" i="46"/>
  <c r="AW44" i="46"/>
  <c r="AW45" i="46"/>
  <c r="AW19" i="33"/>
  <c r="AW16" i="33"/>
  <c r="AW13" i="48" s="1"/>
  <c r="AV22" i="33"/>
  <c r="AV25" i="33"/>
  <c r="AV28" i="33" s="1"/>
  <c r="AV12" i="48" s="1"/>
  <c r="AV10" i="48" s="1"/>
  <c r="AY3" i="33"/>
  <c r="AY13" i="33" s="1"/>
  <c r="AX2" i="33"/>
  <c r="AW4" i="33"/>
  <c r="AX15" i="33"/>
  <c r="AX21" i="33" s="1"/>
  <c r="AX27" i="33" s="1"/>
  <c r="AX14" i="33"/>
  <c r="AX20" i="33" s="1"/>
  <c r="AX26" i="33" s="1"/>
  <c r="AX1" i="33"/>
  <c r="AV9" i="29"/>
  <c r="AV19" i="29" s="1"/>
  <c r="AW37" i="46"/>
  <c r="AW39" i="46"/>
  <c r="AW36" i="46"/>
  <c r="AW38" i="46"/>
  <c r="AS12" i="19"/>
  <c r="AW32" i="46"/>
  <c r="AT83" i="46"/>
  <c r="AR53" i="13"/>
  <c r="AY3" i="11"/>
  <c r="AX2" i="11"/>
  <c r="AW4" i="11"/>
  <c r="AX1" i="11"/>
  <c r="BF3" i="20"/>
  <c r="BE1" i="20"/>
  <c r="BE2" i="20"/>
  <c r="BD4" i="20"/>
  <c r="BD21" i="20" s="1"/>
  <c r="AT40" i="13"/>
  <c r="AT57" i="13" s="1"/>
  <c r="AX2" i="19"/>
  <c r="AY3" i="19"/>
  <c r="AW4" i="19"/>
  <c r="AX1" i="19"/>
  <c r="AS40" i="13"/>
  <c r="AS109" i="46"/>
  <c r="AW2" i="25"/>
  <c r="AX3" i="25"/>
  <c r="AW1" i="25"/>
  <c r="AV4" i="25"/>
  <c r="AY2" i="13"/>
  <c r="AZ3" i="13"/>
  <c r="AY1" i="13"/>
  <c r="AX4" i="13"/>
  <c r="AY2" i="46"/>
  <c r="AZ3" i="46"/>
  <c r="AX4" i="46"/>
  <c r="AY1" i="46"/>
  <c r="AW47" i="46"/>
  <c r="AW72" i="46" s="1"/>
  <c r="AW48" i="46"/>
  <c r="AX112" i="46"/>
  <c r="AX113" i="46"/>
  <c r="BS2" i="45"/>
  <c r="BR4" i="45"/>
  <c r="BS1" i="45"/>
  <c r="BA3" i="29"/>
  <c r="AZ2" i="29"/>
  <c r="AZ1" i="29"/>
  <c r="AY4" i="29"/>
  <c r="AT12" i="19"/>
  <c r="AY2" i="10"/>
  <c r="AX4" i="10"/>
  <c r="AZ3" i="10"/>
  <c r="AY1" i="10"/>
  <c r="AY3" i="24"/>
  <c r="AX2" i="24"/>
  <c r="AX1" i="24"/>
  <c r="AW4" i="24"/>
  <c r="BR21" i="45"/>
  <c r="BR20" i="45"/>
  <c r="AZ23" i="13" l="1"/>
  <c r="AZ21" i="13"/>
  <c r="AZ20" i="13"/>
  <c r="AZ25" i="13"/>
  <c r="AZ24" i="13"/>
  <c r="AZ22" i="13"/>
  <c r="AW58" i="13"/>
  <c r="AW19" i="49" s="1"/>
  <c r="AZ8" i="10"/>
  <c r="AZ11" i="10"/>
  <c r="AZ14" i="10"/>
  <c r="AZ13" i="10"/>
  <c r="AZ10" i="10"/>
  <c r="AZ15" i="10"/>
  <c r="AZ12" i="10"/>
  <c r="AZ17" i="10"/>
  <c r="AZ9" i="10"/>
  <c r="AZ16" i="10"/>
  <c r="AX15" i="13"/>
  <c r="AX14" i="11"/>
  <c r="AX10" i="13"/>
  <c r="AX9" i="11"/>
  <c r="AX19" i="13"/>
  <c r="AX18" i="11"/>
  <c r="AX16" i="13"/>
  <c r="AX15" i="11"/>
  <c r="AX14" i="13"/>
  <c r="AX13" i="11"/>
  <c r="BR27" i="45"/>
  <c r="BR26" i="45"/>
  <c r="BR29" i="45"/>
  <c r="BR33" i="45"/>
  <c r="BR30" i="45"/>
  <c r="BR32" i="45"/>
  <c r="BR34" i="45"/>
  <c r="BR28" i="45"/>
  <c r="BR25" i="45"/>
  <c r="BR31" i="45"/>
  <c r="AX13" i="13"/>
  <c r="AX12" i="11"/>
  <c r="AX18" i="13"/>
  <c r="AX17" i="11"/>
  <c r="AX12" i="13"/>
  <c r="AX11" i="11"/>
  <c r="H33" i="45"/>
  <c r="H29" i="45"/>
  <c r="I32" i="45"/>
  <c r="H34" i="45"/>
  <c r="I31" i="45"/>
  <c r="I27" i="45"/>
  <c r="I28" i="45"/>
  <c r="H32" i="45"/>
  <c r="H27" i="45"/>
  <c r="I29" i="45"/>
  <c r="H31" i="45"/>
  <c r="H28" i="45"/>
  <c r="H30" i="45"/>
  <c r="I30" i="45"/>
  <c r="I34" i="45"/>
  <c r="I33" i="45"/>
  <c r="F27" i="45"/>
  <c r="E32" i="45"/>
  <c r="F29" i="45"/>
  <c r="E29" i="45"/>
  <c r="F34" i="45"/>
  <c r="F28" i="45"/>
  <c r="E30" i="45"/>
  <c r="E27" i="45"/>
  <c r="F31" i="45"/>
  <c r="E31" i="45"/>
  <c r="E28" i="45"/>
  <c r="F33" i="45"/>
  <c r="E34" i="45"/>
  <c r="E33" i="45"/>
  <c r="F30" i="45"/>
  <c r="F32" i="45"/>
  <c r="AX11" i="13"/>
  <c r="AX10" i="11"/>
  <c r="AX17" i="13"/>
  <c r="AX16" i="11"/>
  <c r="BR14" i="45"/>
  <c r="BR16" i="45"/>
  <c r="BR17" i="45"/>
  <c r="BR11" i="45"/>
  <c r="BR10" i="45"/>
  <c r="BR13" i="45"/>
  <c r="BR12" i="45"/>
  <c r="BR15" i="45"/>
  <c r="BR9" i="45"/>
  <c r="G11" i="45"/>
  <c r="G15" i="45"/>
  <c r="H14" i="45"/>
  <c r="H10" i="45"/>
  <c r="H15" i="45"/>
  <c r="H11" i="45"/>
  <c r="H16" i="45"/>
  <c r="H13" i="45"/>
  <c r="H12" i="45"/>
  <c r="I10" i="45"/>
  <c r="H17" i="45"/>
  <c r="I11" i="45"/>
  <c r="I15" i="45"/>
  <c r="I14" i="45"/>
  <c r="I13" i="45"/>
  <c r="I16" i="45"/>
  <c r="I12" i="45"/>
  <c r="I17" i="45"/>
  <c r="F10" i="45"/>
  <c r="E15" i="45"/>
  <c r="E10" i="45"/>
  <c r="F11" i="45"/>
  <c r="E17" i="45"/>
  <c r="E12" i="45"/>
  <c r="F17" i="45"/>
  <c r="E14" i="45"/>
  <c r="F14" i="45"/>
  <c r="F13" i="45"/>
  <c r="F12" i="45"/>
  <c r="F16" i="45"/>
  <c r="E13" i="45"/>
  <c r="F15" i="45"/>
  <c r="E16" i="45"/>
  <c r="E11" i="45"/>
  <c r="AZ45" i="13"/>
  <c r="AZ43" i="13"/>
  <c r="AZ48" i="13"/>
  <c r="AZ42" i="13"/>
  <c r="AZ47" i="13"/>
  <c r="AZ41" i="13"/>
  <c r="AZ46" i="13"/>
  <c r="AZ49" i="13"/>
  <c r="AZ44" i="13"/>
  <c r="AW19" i="11"/>
  <c r="AY8" i="29" s="1"/>
  <c r="AW59" i="13"/>
  <c r="AW20" i="49" s="1"/>
  <c r="AS57" i="13"/>
  <c r="AS29" i="49" s="1"/>
  <c r="AS30" i="49" s="1"/>
  <c r="AS50" i="13"/>
  <c r="AS62" i="13" s="1"/>
  <c r="G55" i="45"/>
  <c r="H55" i="45"/>
  <c r="I53" i="45"/>
  <c r="H54" i="45"/>
  <c r="H53" i="45"/>
  <c r="I55" i="45"/>
  <c r="I54" i="45"/>
  <c r="F54" i="45"/>
  <c r="E54" i="45"/>
  <c r="E55" i="45"/>
  <c r="F55" i="45"/>
  <c r="F53" i="45"/>
  <c r="BR55" i="45"/>
  <c r="BR54" i="45"/>
  <c r="BR53" i="45"/>
  <c r="AT50" i="13"/>
  <c r="AT51" i="13" s="1"/>
  <c r="BD22" i="20"/>
  <c r="AU35" i="13"/>
  <c r="AU36" i="13" s="1"/>
  <c r="AT12" i="25" s="1"/>
  <c r="E26" i="45"/>
  <c r="F25" i="45"/>
  <c r="F26" i="45"/>
  <c r="F9" i="45"/>
  <c r="E9" i="45"/>
  <c r="F8" i="45"/>
  <c r="BR8" i="45"/>
  <c r="AQ15" i="25"/>
  <c r="AV71" i="46"/>
  <c r="AV31" i="13" s="1"/>
  <c r="AY61" i="13"/>
  <c r="AU56" i="13"/>
  <c r="AY60" i="13"/>
  <c r="AZ33" i="13"/>
  <c r="AZ34" i="13"/>
  <c r="AW69" i="46"/>
  <c r="AW95" i="46" s="1"/>
  <c r="AW63" i="46"/>
  <c r="AW89" i="46" s="1"/>
  <c r="AW61" i="46"/>
  <c r="AW87" i="46" s="1"/>
  <c r="AW68" i="46"/>
  <c r="AW94" i="46" s="1"/>
  <c r="AW74" i="46"/>
  <c r="AW100" i="46" s="1"/>
  <c r="AW73" i="46"/>
  <c r="AW99" i="46" s="1"/>
  <c r="AW62" i="46"/>
  <c r="AW88" i="46" s="1"/>
  <c r="AW65" i="46"/>
  <c r="AW91" i="46" s="1"/>
  <c r="AW64" i="46"/>
  <c r="AW90" i="46" s="1"/>
  <c r="AW67" i="46"/>
  <c r="AW93" i="46" s="1"/>
  <c r="AW70" i="46"/>
  <c r="AW96" i="46" s="1"/>
  <c r="AW66" i="46"/>
  <c r="AW92" i="46" s="1"/>
  <c r="AZ30" i="46"/>
  <c r="AZ27" i="46"/>
  <c r="AZ26" i="46"/>
  <c r="AZ31" i="46"/>
  <c r="AZ29" i="46"/>
  <c r="AZ28" i="46"/>
  <c r="AZ25" i="46"/>
  <c r="AZ15" i="46"/>
  <c r="AZ19" i="46"/>
  <c r="AZ17" i="46"/>
  <c r="AZ18" i="46"/>
  <c r="AZ14" i="46"/>
  <c r="AZ16" i="46"/>
  <c r="AZ23" i="46"/>
  <c r="AZ10" i="46"/>
  <c r="AZ22" i="46"/>
  <c r="AZ12" i="46"/>
  <c r="AZ13" i="46"/>
  <c r="AZ21" i="46"/>
  <c r="AZ11" i="46"/>
  <c r="AV86" i="46"/>
  <c r="AV60" i="46"/>
  <c r="AV8" i="13" s="1"/>
  <c r="AY9" i="46"/>
  <c r="BR42" i="45"/>
  <c r="BR48" i="45"/>
  <c r="BR44" i="45"/>
  <c r="BR40" i="45"/>
  <c r="BR49" i="45"/>
  <c r="BR36" i="45"/>
  <c r="BR39" i="45"/>
  <c r="BR52" i="45"/>
  <c r="BR51" i="45"/>
  <c r="BR41" i="45"/>
  <c r="BR37" i="45"/>
  <c r="BR45" i="45"/>
  <c r="BR38" i="45"/>
  <c r="BR47" i="45"/>
  <c r="BR50" i="45"/>
  <c r="AV101" i="46"/>
  <c r="AV97" i="46"/>
  <c r="AV32" i="13" s="1"/>
  <c r="AW80" i="46"/>
  <c r="AW106" i="46" s="1"/>
  <c r="AW81" i="46"/>
  <c r="AW107" i="46" s="1"/>
  <c r="AW78" i="46"/>
  <c r="AW104" i="46" s="1"/>
  <c r="AW82" i="46"/>
  <c r="AW108" i="46" s="1"/>
  <c r="AW77" i="46"/>
  <c r="AW103" i="46" s="1"/>
  <c r="AW76" i="46"/>
  <c r="AW102" i="46" s="1"/>
  <c r="AW79" i="46"/>
  <c r="AW105" i="46" s="1"/>
  <c r="AV75" i="46"/>
  <c r="AV39" i="13" s="1"/>
  <c r="AX49" i="46"/>
  <c r="AY24" i="46"/>
  <c r="AW13" i="49"/>
  <c r="AW18" i="48" s="1"/>
  <c r="AW26" i="49"/>
  <c r="AW11" i="49" s="1"/>
  <c r="BS58" i="45"/>
  <c r="BS59" i="45"/>
  <c r="AZ13" i="20"/>
  <c r="AV14" i="20"/>
  <c r="X15" i="20"/>
  <c r="AX14" i="20"/>
  <c r="BA13" i="20"/>
  <c r="AT29" i="49"/>
  <c r="AT28" i="13"/>
  <c r="AS10" i="25" s="1"/>
  <c r="AS11" i="25" s="1"/>
  <c r="AV9" i="25"/>
  <c r="AW98" i="46"/>
  <c r="AY20" i="46"/>
  <c r="AU27" i="13"/>
  <c r="AR18" i="29"/>
  <c r="AV26" i="49"/>
  <c r="AV18" i="48"/>
  <c r="AU9" i="49"/>
  <c r="AS14" i="29"/>
  <c r="AS18" i="29" s="1"/>
  <c r="S20" i="29"/>
  <c r="S21" i="29"/>
  <c r="AU22" i="25"/>
  <c r="AV26" i="13"/>
  <c r="AV63" i="13" s="1"/>
  <c r="AX51" i="46"/>
  <c r="AX53" i="46"/>
  <c r="AX52" i="46"/>
  <c r="AX54" i="46"/>
  <c r="AX55" i="46"/>
  <c r="AX57" i="46"/>
  <c r="AX56" i="46"/>
  <c r="AX40" i="46"/>
  <c r="AX42" i="46"/>
  <c r="AX41" i="46"/>
  <c r="AX44" i="46"/>
  <c r="AX43" i="46"/>
  <c r="AX45" i="46"/>
  <c r="AZ3" i="33"/>
  <c r="AZ13" i="33" s="1"/>
  <c r="AY15" i="33"/>
  <c r="AY21" i="33" s="1"/>
  <c r="AY27" i="33" s="1"/>
  <c r="AX4" i="33"/>
  <c r="AY14" i="33"/>
  <c r="AY20" i="33" s="1"/>
  <c r="AY26" i="33" s="1"/>
  <c r="AY2" i="33"/>
  <c r="AY1" i="33"/>
  <c r="AX19" i="33"/>
  <c r="AX16" i="33"/>
  <c r="AX13" i="48" s="1"/>
  <c r="BO13" i="48" s="1"/>
  <c r="AW25" i="33"/>
  <c r="AW28" i="33" s="1"/>
  <c r="AW12" i="48" s="1"/>
  <c r="AW10" i="48" s="1"/>
  <c r="AW22" i="33"/>
  <c r="AT109" i="46"/>
  <c r="AX36" i="46"/>
  <c r="AX38" i="46"/>
  <c r="AX37" i="46"/>
  <c r="AX39" i="46"/>
  <c r="AX32" i="46"/>
  <c r="AZ3" i="11"/>
  <c r="AY2" i="11"/>
  <c r="AX4" i="11"/>
  <c r="AY1" i="11"/>
  <c r="AU40" i="13"/>
  <c r="AU50" i="13" s="1"/>
  <c r="BG3" i="20"/>
  <c r="BF2" i="20"/>
  <c r="BF1" i="20"/>
  <c r="BE4" i="20"/>
  <c r="BE21" i="20" s="1"/>
  <c r="AY2" i="19"/>
  <c r="AZ3" i="19"/>
  <c r="AX4" i="19"/>
  <c r="AY1" i="19"/>
  <c r="AP13" i="19"/>
  <c r="AZ2" i="46"/>
  <c r="BA3" i="46"/>
  <c r="AY4" i="46"/>
  <c r="AZ1" i="46"/>
  <c r="AY112" i="46"/>
  <c r="AY113" i="46"/>
  <c r="AZ2" i="13"/>
  <c r="BA3" i="13"/>
  <c r="AZ1" i="13"/>
  <c r="AY4" i="13"/>
  <c r="AX2" i="25"/>
  <c r="AY3" i="25"/>
  <c r="AW4" i="25"/>
  <c r="AX1" i="25"/>
  <c r="AU83" i="46"/>
  <c r="AX47" i="46"/>
  <c r="AX72" i="46" s="1"/>
  <c r="AX48" i="46"/>
  <c r="AX4" i="24"/>
  <c r="AY1" i="24"/>
  <c r="AZ3" i="24"/>
  <c r="AY2" i="24"/>
  <c r="AZ2" i="10"/>
  <c r="AY4" i="10"/>
  <c r="BA3" i="10"/>
  <c r="AZ1" i="10"/>
  <c r="BA2" i="29"/>
  <c r="BB3" i="29"/>
  <c r="AZ4" i="29"/>
  <c r="BA1" i="29"/>
  <c r="AU12" i="19"/>
  <c r="BS21" i="45"/>
  <c r="BS20" i="45"/>
  <c r="AW21" i="49" l="1"/>
  <c r="AW10" i="49" s="1"/>
  <c r="AX58" i="13"/>
  <c r="AX19" i="49" s="1"/>
  <c r="BA21" i="13"/>
  <c r="BA23" i="13"/>
  <c r="BA25" i="13"/>
  <c r="BA24" i="13"/>
  <c r="BA20" i="13"/>
  <c r="BA22" i="13"/>
  <c r="BS27" i="45"/>
  <c r="BS33" i="45"/>
  <c r="BS30" i="45"/>
  <c r="J30" i="45" s="1"/>
  <c r="BS26" i="45"/>
  <c r="BJ11" i="13" s="1"/>
  <c r="BS32" i="45"/>
  <c r="BS34" i="45"/>
  <c r="BS28" i="45"/>
  <c r="BS31" i="45"/>
  <c r="BS25" i="45"/>
  <c r="BJ10" i="13" s="1"/>
  <c r="BS29" i="45"/>
  <c r="J29" i="45" s="1"/>
  <c r="AY18" i="13"/>
  <c r="AY17" i="11"/>
  <c r="AY11" i="13"/>
  <c r="AY10" i="11"/>
  <c r="AY19" i="13"/>
  <c r="AY18" i="11"/>
  <c r="AY14" i="13"/>
  <c r="AY13" i="11"/>
  <c r="AY17" i="13"/>
  <c r="AY16" i="11"/>
  <c r="AY12" i="13"/>
  <c r="AY11" i="11"/>
  <c r="AY15" i="13"/>
  <c r="AY14" i="11"/>
  <c r="AY16" i="13"/>
  <c r="AY15" i="11"/>
  <c r="BA8" i="10"/>
  <c r="BA11" i="10"/>
  <c r="BA16" i="10"/>
  <c r="BA10" i="10"/>
  <c r="BA13" i="10"/>
  <c r="BA17" i="10"/>
  <c r="BA12" i="10"/>
  <c r="BA14" i="10"/>
  <c r="BA15" i="10"/>
  <c r="BA9" i="10"/>
  <c r="AY13" i="13"/>
  <c r="AY12" i="11"/>
  <c r="AY10" i="13"/>
  <c r="AY58" i="13" s="1"/>
  <c r="AY19" i="49" s="1"/>
  <c r="AY9" i="11"/>
  <c r="BS13" i="45"/>
  <c r="BS14" i="45"/>
  <c r="BS16" i="45"/>
  <c r="BS15" i="45"/>
  <c r="BS11" i="45"/>
  <c r="BS12" i="45"/>
  <c r="BS17" i="45"/>
  <c r="BS10" i="45"/>
  <c r="BS9" i="45"/>
  <c r="BA42" i="13"/>
  <c r="BA45" i="13"/>
  <c r="BA48" i="13"/>
  <c r="BA43" i="13"/>
  <c r="BA44" i="13"/>
  <c r="BA47" i="13"/>
  <c r="BA49" i="13"/>
  <c r="BA41" i="13"/>
  <c r="BA46" i="13"/>
  <c r="AX19" i="11"/>
  <c r="AZ8" i="29" s="1"/>
  <c r="AW9" i="49"/>
  <c r="AW16" i="48" s="1"/>
  <c r="AX59" i="13"/>
  <c r="AX20" i="49" s="1"/>
  <c r="AX21" i="49" s="1"/>
  <c r="AX10" i="49" s="1"/>
  <c r="BS55" i="45"/>
  <c r="J55" i="45" s="1"/>
  <c r="BS54" i="45"/>
  <c r="BS53" i="45"/>
  <c r="G53" i="45" s="1"/>
  <c r="AU51" i="13"/>
  <c r="AT13" i="25" s="1"/>
  <c r="BE22" i="20"/>
  <c r="AV35" i="13"/>
  <c r="AV36" i="13" s="1"/>
  <c r="AU12" i="25" s="1"/>
  <c r="BS8" i="45"/>
  <c r="AZ61" i="13"/>
  <c r="AU62" i="13"/>
  <c r="AZ60" i="13"/>
  <c r="AU57" i="13"/>
  <c r="AU29" i="49" s="1"/>
  <c r="AT62" i="13"/>
  <c r="AT64" i="13" s="1"/>
  <c r="AU13" i="29" s="1"/>
  <c r="BA34" i="13"/>
  <c r="BA33" i="13"/>
  <c r="AV56" i="13"/>
  <c r="AW71" i="46"/>
  <c r="AW31" i="13" s="1"/>
  <c r="AW60" i="46"/>
  <c r="AW8" i="13" s="1"/>
  <c r="AX62" i="46"/>
  <c r="AX88" i="46" s="1"/>
  <c r="AX69" i="46"/>
  <c r="AX95" i="46" s="1"/>
  <c r="AX64" i="46"/>
  <c r="AX90" i="46" s="1"/>
  <c r="AX68" i="46"/>
  <c r="AX94" i="46" s="1"/>
  <c r="AX63" i="46"/>
  <c r="AX89" i="46" s="1"/>
  <c r="AX74" i="46"/>
  <c r="AX100" i="46" s="1"/>
  <c r="AX65" i="46"/>
  <c r="AX91" i="46" s="1"/>
  <c r="AX66" i="46"/>
  <c r="AX92" i="46" s="1"/>
  <c r="AX61" i="46"/>
  <c r="AX87" i="46" s="1"/>
  <c r="AX73" i="46"/>
  <c r="AX99" i="46" s="1"/>
  <c r="AX67" i="46"/>
  <c r="AX93" i="46" s="1"/>
  <c r="AX70" i="46"/>
  <c r="AX96" i="46" s="1"/>
  <c r="BA28" i="46"/>
  <c r="BA29" i="46"/>
  <c r="BA27" i="46"/>
  <c r="BA25" i="46"/>
  <c r="BA30" i="46"/>
  <c r="BA26" i="46"/>
  <c r="BA31" i="46"/>
  <c r="BA14" i="46"/>
  <c r="BA16" i="46"/>
  <c r="BA15" i="46"/>
  <c r="BA17" i="46"/>
  <c r="BA18" i="46"/>
  <c r="BA19" i="46"/>
  <c r="BA22" i="46"/>
  <c r="BA12" i="46"/>
  <c r="BA21" i="46"/>
  <c r="BA11" i="46"/>
  <c r="BA10" i="46"/>
  <c r="BA23" i="46"/>
  <c r="BA13" i="46"/>
  <c r="AW86" i="46"/>
  <c r="AW9" i="13" s="1"/>
  <c r="AZ9" i="46"/>
  <c r="AW101" i="46"/>
  <c r="BS44" i="45"/>
  <c r="BS49" i="45"/>
  <c r="BS37" i="45"/>
  <c r="BS45" i="45"/>
  <c r="BS42" i="45"/>
  <c r="BS48" i="45"/>
  <c r="BS52" i="45"/>
  <c r="BS38" i="45"/>
  <c r="BS51" i="45"/>
  <c r="BS40" i="45"/>
  <c r="BS36" i="45"/>
  <c r="BS47" i="45"/>
  <c r="BS41" i="45"/>
  <c r="BS39" i="45"/>
  <c r="BS50" i="45"/>
  <c r="AW97" i="46"/>
  <c r="AW32" i="13" s="1"/>
  <c r="AW75" i="46"/>
  <c r="AW39" i="13" s="1"/>
  <c r="AX80" i="46"/>
  <c r="AX106" i="46" s="1"/>
  <c r="AX78" i="46"/>
  <c r="AX104" i="46" s="1"/>
  <c r="AX81" i="46"/>
  <c r="AX107" i="46" s="1"/>
  <c r="AX76" i="46"/>
  <c r="AX102" i="46" s="1"/>
  <c r="AX77" i="46"/>
  <c r="AX103" i="46" s="1"/>
  <c r="AX82" i="46"/>
  <c r="AX108" i="46" s="1"/>
  <c r="AX79" i="46"/>
  <c r="AX105" i="46" s="1"/>
  <c r="AY49" i="46"/>
  <c r="AZ24" i="46"/>
  <c r="BB13" i="20"/>
  <c r="AT30" i="49"/>
  <c r="AS51" i="13"/>
  <c r="AS64" i="13"/>
  <c r="AT13" i="29" s="1"/>
  <c r="AU28" i="13"/>
  <c r="AT10" i="25" s="1"/>
  <c r="AT11" i="25" s="1"/>
  <c r="AV9" i="13"/>
  <c r="AX98" i="46"/>
  <c r="AZ20" i="46"/>
  <c r="AR13" i="19"/>
  <c r="AX13" i="49"/>
  <c r="AU16" i="48"/>
  <c r="AV11" i="49"/>
  <c r="R14" i="19"/>
  <c r="T17" i="29"/>
  <c r="R17" i="48"/>
  <c r="AS13" i="25"/>
  <c r="AS14" i="25" s="1"/>
  <c r="AT53" i="13"/>
  <c r="AV22" i="25"/>
  <c r="AW26" i="13"/>
  <c r="AW63" i="13" s="1"/>
  <c r="AW9" i="25"/>
  <c r="AY52" i="46"/>
  <c r="AY54" i="46"/>
  <c r="AY51" i="46"/>
  <c r="AY53" i="46"/>
  <c r="AY56" i="46"/>
  <c r="AY55" i="46"/>
  <c r="AY57" i="46"/>
  <c r="AY41" i="46"/>
  <c r="AY40" i="46"/>
  <c r="AY42" i="46"/>
  <c r="AY43" i="46"/>
  <c r="AY44" i="46"/>
  <c r="AY45" i="46"/>
  <c r="AX25" i="33"/>
  <c r="AX28" i="33" s="1"/>
  <c r="AX12" i="48" s="1"/>
  <c r="AX22" i="33"/>
  <c r="AY16" i="33"/>
  <c r="AY13" i="48" s="1"/>
  <c r="AY19" i="33"/>
  <c r="AZ15" i="33"/>
  <c r="AZ21" i="33" s="1"/>
  <c r="AZ27" i="33" s="1"/>
  <c r="AZ14" i="33"/>
  <c r="AZ20" i="33" s="1"/>
  <c r="AZ26" i="33" s="1"/>
  <c r="AY4" i="33"/>
  <c r="BA3" i="33"/>
  <c r="BA13" i="33" s="1"/>
  <c r="AZ2" i="33"/>
  <c r="AZ1" i="33"/>
  <c r="AW9" i="29"/>
  <c r="AU109" i="46"/>
  <c r="AY37" i="46"/>
  <c r="AY39" i="46"/>
  <c r="AY36" i="46"/>
  <c r="AY38" i="46"/>
  <c r="BA3" i="11"/>
  <c r="AZ2" i="11"/>
  <c r="AY4" i="11"/>
  <c r="AZ1" i="11"/>
  <c r="BH3" i="20"/>
  <c r="BG1" i="20"/>
  <c r="BG2" i="20"/>
  <c r="BF4" i="20"/>
  <c r="BF21" i="20" s="1"/>
  <c r="AV83" i="46"/>
  <c r="AZ2" i="19"/>
  <c r="BA3" i="19"/>
  <c r="AY4" i="19"/>
  <c r="AZ1" i="19"/>
  <c r="AY2" i="25"/>
  <c r="AZ3" i="25"/>
  <c r="AY1" i="25"/>
  <c r="AX4" i="25"/>
  <c r="BA2" i="13"/>
  <c r="BB3" i="13"/>
  <c r="BA1" i="13"/>
  <c r="AZ4" i="13"/>
  <c r="AY47" i="46"/>
  <c r="AY72" i="46" s="1"/>
  <c r="AY48" i="46"/>
  <c r="AW14" i="20"/>
  <c r="AY32" i="46"/>
  <c r="BA2" i="46"/>
  <c r="BB3" i="46"/>
  <c r="BA1" i="46"/>
  <c r="AZ4" i="46"/>
  <c r="AZ113" i="46"/>
  <c r="AZ112" i="46"/>
  <c r="BC3" i="29"/>
  <c r="BB2" i="29"/>
  <c r="BA4" i="29"/>
  <c r="BB1" i="29"/>
  <c r="BA2" i="10"/>
  <c r="BB3" i="10"/>
  <c r="AZ4" i="10"/>
  <c r="BA1" i="10"/>
  <c r="AY4" i="24"/>
  <c r="AZ1" i="24"/>
  <c r="BA3" i="24"/>
  <c r="AZ2" i="24"/>
  <c r="BB21" i="13" l="1"/>
  <c r="BB23" i="13"/>
  <c r="BB25" i="13"/>
  <c r="BB20" i="13"/>
  <c r="BB22" i="13"/>
  <c r="BB24" i="13"/>
  <c r="AS17" i="25"/>
  <c r="AS23" i="25" s="1"/>
  <c r="BJ19" i="13"/>
  <c r="G34" i="45"/>
  <c r="BJ17" i="13"/>
  <c r="G32" i="45"/>
  <c r="AZ11" i="13"/>
  <c r="AZ10" i="11"/>
  <c r="AZ16" i="13"/>
  <c r="AZ15" i="11"/>
  <c r="BJ18" i="13"/>
  <c r="G33" i="45"/>
  <c r="J33" i="45"/>
  <c r="AZ14" i="13"/>
  <c r="AZ13" i="11"/>
  <c r="BJ12" i="13"/>
  <c r="BJ58" i="13" s="1"/>
  <c r="G27" i="45"/>
  <c r="AZ19" i="13"/>
  <c r="AZ18" i="11"/>
  <c r="AZ15" i="13"/>
  <c r="AZ14" i="11"/>
  <c r="AZ12" i="13"/>
  <c r="AZ11" i="11"/>
  <c r="AZ17" i="13"/>
  <c r="AZ16" i="11"/>
  <c r="AZ18" i="13"/>
  <c r="AZ17" i="11"/>
  <c r="AZ13" i="13"/>
  <c r="AZ12" i="11"/>
  <c r="AZ10" i="13"/>
  <c r="AZ9" i="11"/>
  <c r="J27" i="45"/>
  <c r="BJ14" i="13"/>
  <c r="G29" i="45"/>
  <c r="BB8" i="10"/>
  <c r="BB16" i="10"/>
  <c r="BB10" i="10"/>
  <c r="BB13" i="10"/>
  <c r="BB12" i="10"/>
  <c r="BB14" i="10"/>
  <c r="BB17" i="10"/>
  <c r="BB11" i="10"/>
  <c r="BB15" i="10"/>
  <c r="BB9" i="10"/>
  <c r="J32" i="45"/>
  <c r="BJ15" i="13"/>
  <c r="G30" i="45"/>
  <c r="BJ16" i="13"/>
  <c r="G31" i="45"/>
  <c r="J31" i="45"/>
  <c r="J34" i="45"/>
  <c r="BJ13" i="13"/>
  <c r="G28" i="45"/>
  <c r="J28" i="45"/>
  <c r="J11" i="45"/>
  <c r="J15" i="45"/>
  <c r="G13" i="45"/>
  <c r="J13" i="45"/>
  <c r="G12" i="45"/>
  <c r="J12" i="45"/>
  <c r="G17" i="45"/>
  <c r="J17" i="45"/>
  <c r="G16" i="45"/>
  <c r="J16" i="45"/>
  <c r="G14" i="45"/>
  <c r="J14" i="45"/>
  <c r="G10" i="45"/>
  <c r="J10" i="45"/>
  <c r="BB47" i="13"/>
  <c r="BB42" i="13"/>
  <c r="BB45" i="13"/>
  <c r="BB41" i="13"/>
  <c r="BB46" i="13"/>
  <c r="BB49" i="13"/>
  <c r="BB43" i="13"/>
  <c r="BB48" i="13"/>
  <c r="BB44" i="13"/>
  <c r="AY59" i="13"/>
  <c r="AY20" i="49" s="1"/>
  <c r="AY21" i="49" s="1"/>
  <c r="AY10" i="49" s="1"/>
  <c r="AY19" i="11"/>
  <c r="BA8" i="29" s="1"/>
  <c r="AT14" i="25"/>
  <c r="G54" i="45"/>
  <c r="J54" i="45"/>
  <c r="J53" i="45"/>
  <c r="BF22" i="20"/>
  <c r="J26" i="45"/>
  <c r="J8" i="45"/>
  <c r="G25" i="45"/>
  <c r="H25" i="45"/>
  <c r="I25" i="45"/>
  <c r="J25" i="45"/>
  <c r="G26" i="45"/>
  <c r="H26" i="45"/>
  <c r="I26" i="45"/>
  <c r="G9" i="45"/>
  <c r="H9" i="45"/>
  <c r="I9" i="45"/>
  <c r="J9" i="45"/>
  <c r="G8" i="45"/>
  <c r="H8" i="45"/>
  <c r="I8" i="45"/>
  <c r="BA61" i="13"/>
  <c r="BA60" i="13"/>
  <c r="AW56" i="13"/>
  <c r="BB34" i="13"/>
  <c r="BB33" i="13"/>
  <c r="AW35" i="13"/>
  <c r="AW36" i="13" s="1"/>
  <c r="AV12" i="25" s="1"/>
  <c r="AX60" i="46"/>
  <c r="AX8" i="13" s="1"/>
  <c r="AX71" i="46"/>
  <c r="AX31" i="13" s="1"/>
  <c r="AY69" i="46"/>
  <c r="AY95" i="46" s="1"/>
  <c r="AY63" i="46"/>
  <c r="AY89" i="46" s="1"/>
  <c r="AY61" i="46"/>
  <c r="AY87" i="46" s="1"/>
  <c r="AY64" i="46"/>
  <c r="AY90" i="46" s="1"/>
  <c r="AY68" i="46"/>
  <c r="AY94" i="46" s="1"/>
  <c r="AY73" i="46"/>
  <c r="AY99" i="46" s="1"/>
  <c r="AY62" i="46"/>
  <c r="AY88" i="46" s="1"/>
  <c r="AY67" i="46"/>
  <c r="AY93" i="46" s="1"/>
  <c r="AY65" i="46"/>
  <c r="AY91" i="46" s="1"/>
  <c r="AY74" i="46"/>
  <c r="AY100" i="46" s="1"/>
  <c r="AY70" i="46"/>
  <c r="AY96" i="46" s="1"/>
  <c r="AY66" i="46"/>
  <c r="AY92" i="46" s="1"/>
  <c r="BB25" i="46"/>
  <c r="BB29" i="46"/>
  <c r="BB30" i="46"/>
  <c r="BB27" i="46"/>
  <c r="BB26" i="46"/>
  <c r="BB28" i="46"/>
  <c r="BB31" i="46"/>
  <c r="BB16" i="46"/>
  <c r="BB15" i="46"/>
  <c r="BB17" i="46"/>
  <c r="BB18" i="46"/>
  <c r="BB19" i="46"/>
  <c r="BB14" i="46"/>
  <c r="BB10" i="46"/>
  <c r="BB13" i="46"/>
  <c r="BB21" i="46"/>
  <c r="BB23" i="46"/>
  <c r="BB22" i="46"/>
  <c r="BB12" i="46"/>
  <c r="BB11" i="46"/>
  <c r="AX86" i="46"/>
  <c r="AX9" i="13" s="1"/>
  <c r="BA9" i="46"/>
  <c r="AX101" i="46"/>
  <c r="AX97" i="46"/>
  <c r="AX32" i="13" s="1"/>
  <c r="AY78" i="46"/>
  <c r="AY104" i="46" s="1"/>
  <c r="AY81" i="46"/>
  <c r="AY107" i="46" s="1"/>
  <c r="AY76" i="46"/>
  <c r="AY102" i="46" s="1"/>
  <c r="AY80" i="46"/>
  <c r="AY106" i="46" s="1"/>
  <c r="AY79" i="46"/>
  <c r="AY105" i="46" s="1"/>
  <c r="AY82" i="46"/>
  <c r="AY108" i="46" s="1"/>
  <c r="AY77" i="46"/>
  <c r="AY103" i="46" s="1"/>
  <c r="AX75" i="46"/>
  <c r="AX39" i="13" s="1"/>
  <c r="AZ49" i="46"/>
  <c r="BA24" i="46"/>
  <c r="AX10" i="48"/>
  <c r="BO10" i="48" s="1"/>
  <c r="BO12" i="48"/>
  <c r="AY14" i="20"/>
  <c r="Y15" i="20"/>
  <c r="AU30" i="49"/>
  <c r="AU53" i="13"/>
  <c r="AU64" i="13"/>
  <c r="AV13" i="29" s="1"/>
  <c r="AV14" i="29" s="1"/>
  <c r="AV18" i="29" s="1"/>
  <c r="AV27" i="13"/>
  <c r="AR13" i="25"/>
  <c r="AR14" i="25" s="1"/>
  <c r="AR17" i="25" s="1"/>
  <c r="AR23" i="25" s="1"/>
  <c r="AS53" i="13"/>
  <c r="AT14" i="29" s="1"/>
  <c r="AT18" i="29" s="1"/>
  <c r="AY98" i="46"/>
  <c r="AW27" i="13"/>
  <c r="BA20" i="46"/>
  <c r="AV109" i="46"/>
  <c r="AX26" i="49"/>
  <c r="BO26" i="49" s="1"/>
  <c r="AY13" i="49"/>
  <c r="AY18" i="48" s="1"/>
  <c r="AY26" i="49"/>
  <c r="AY11" i="49" s="1"/>
  <c r="AV9" i="49"/>
  <c r="AX18" i="48"/>
  <c r="BO18" i="48" s="1"/>
  <c r="AU14" i="29"/>
  <c r="AU18" i="29" s="1"/>
  <c r="T21" i="29"/>
  <c r="T20" i="29"/>
  <c r="AV12" i="19"/>
  <c r="AW19" i="29"/>
  <c r="AW22" i="25"/>
  <c r="AX26" i="13"/>
  <c r="AX63" i="13" s="1"/>
  <c r="AX9" i="25"/>
  <c r="AS15" i="25"/>
  <c r="AZ51" i="46"/>
  <c r="AZ53" i="46"/>
  <c r="AZ52" i="46"/>
  <c r="AZ54" i="46"/>
  <c r="AZ55" i="46"/>
  <c r="AZ57" i="46"/>
  <c r="AZ56" i="46"/>
  <c r="AZ40" i="46"/>
  <c r="AZ42" i="46"/>
  <c r="AZ41" i="46"/>
  <c r="AZ44" i="46"/>
  <c r="AZ43" i="46"/>
  <c r="AZ45" i="46"/>
  <c r="AX9" i="29"/>
  <c r="AX19" i="29" s="1"/>
  <c r="AZ19" i="33"/>
  <c r="AZ16" i="33"/>
  <c r="AZ13" i="48" s="1"/>
  <c r="BB3" i="33"/>
  <c r="BB13" i="33" s="1"/>
  <c r="BA15" i="33"/>
  <c r="BA21" i="33" s="1"/>
  <c r="BA27" i="33" s="1"/>
  <c r="BA1" i="33"/>
  <c r="BA14" i="33"/>
  <c r="BA20" i="33" s="1"/>
  <c r="BA26" i="33" s="1"/>
  <c r="BA2" i="33"/>
  <c r="AZ4" i="33"/>
  <c r="AY25" i="33"/>
  <c r="AY28" i="33" s="1"/>
  <c r="AY12" i="48" s="1"/>
  <c r="AY10" i="48" s="1"/>
  <c r="AY22" i="33"/>
  <c r="AW83" i="46"/>
  <c r="AV40" i="13"/>
  <c r="AZ36" i="46"/>
  <c r="AZ38" i="46"/>
  <c r="AZ37" i="46"/>
  <c r="AZ39" i="46"/>
  <c r="BB3" i="11"/>
  <c r="BA2" i="11"/>
  <c r="AZ4" i="11"/>
  <c r="BA1" i="11"/>
  <c r="BG4" i="20"/>
  <c r="BG21" i="20" s="1"/>
  <c r="BH1" i="20"/>
  <c r="BH2" i="20"/>
  <c r="BI3" i="20"/>
  <c r="BA2" i="19"/>
  <c r="BB3" i="19"/>
  <c r="AZ4" i="19"/>
  <c r="BA1" i="19"/>
  <c r="BC3" i="46"/>
  <c r="BA4" i="46"/>
  <c r="BB1" i="46"/>
  <c r="BB2" i="46"/>
  <c r="BA113" i="46"/>
  <c r="BA112" i="46"/>
  <c r="AW109" i="46"/>
  <c r="AW40" i="13"/>
  <c r="AW50" i="13" s="1"/>
  <c r="AZ47" i="46"/>
  <c r="AZ72" i="46" s="1"/>
  <c r="AZ48" i="46"/>
  <c r="AZ32" i="46"/>
  <c r="BB2" i="13"/>
  <c r="BC3" i="13"/>
  <c r="BB1" i="13"/>
  <c r="BA4" i="13"/>
  <c r="AZ2" i="25"/>
  <c r="BA3" i="25"/>
  <c r="AY4" i="25"/>
  <c r="AZ1" i="25"/>
  <c r="BA2" i="24"/>
  <c r="BB3" i="24"/>
  <c r="AZ4" i="24"/>
  <c r="BA1" i="24"/>
  <c r="BB2" i="10"/>
  <c r="BA4" i="10"/>
  <c r="BC3" i="10"/>
  <c r="BB1" i="10"/>
  <c r="BC2" i="29"/>
  <c r="BD3" i="29"/>
  <c r="BB4" i="29"/>
  <c r="BC1" i="29"/>
  <c r="AZ58" i="13" l="1"/>
  <c r="AZ19" i="49" s="1"/>
  <c r="BC20" i="13"/>
  <c r="BC22" i="13"/>
  <c r="BC24" i="13"/>
  <c r="BC23" i="13"/>
  <c r="BC21" i="13"/>
  <c r="BC25" i="13"/>
  <c r="AT15" i="25"/>
  <c r="AT17" i="25"/>
  <c r="AT23" i="25" s="1"/>
  <c r="BA13" i="13"/>
  <c r="BA12" i="11"/>
  <c r="BA19" i="13"/>
  <c r="BA18" i="11"/>
  <c r="BA16" i="13"/>
  <c r="BA15" i="11"/>
  <c r="BA14" i="13"/>
  <c r="BA13" i="11"/>
  <c r="BA15" i="13"/>
  <c r="BA14" i="11"/>
  <c r="BA12" i="13"/>
  <c r="BA11" i="11"/>
  <c r="BA18" i="13"/>
  <c r="BA17" i="11"/>
  <c r="BA10" i="13"/>
  <c r="BA9" i="11"/>
  <c r="BC15" i="10"/>
  <c r="BC8" i="10"/>
  <c r="BC13" i="10"/>
  <c r="BC16" i="10"/>
  <c r="BC10" i="10"/>
  <c r="BC12" i="10"/>
  <c r="BC14" i="10"/>
  <c r="BC9" i="10"/>
  <c r="BC11" i="10"/>
  <c r="BC17" i="10"/>
  <c r="BA17" i="13"/>
  <c r="BA16" i="11"/>
  <c r="BA11" i="13"/>
  <c r="BA10" i="11"/>
  <c r="BC44" i="13"/>
  <c r="BC47" i="13"/>
  <c r="BC42" i="13"/>
  <c r="BC41" i="13"/>
  <c r="BC46" i="13"/>
  <c r="BC49" i="13"/>
  <c r="BC43" i="13"/>
  <c r="BC45" i="13"/>
  <c r="BC48" i="13"/>
  <c r="AY9" i="49"/>
  <c r="AY16" i="48" s="1"/>
  <c r="AZ59" i="13"/>
  <c r="AZ20" i="49" s="1"/>
  <c r="AZ19" i="11"/>
  <c r="BB8" i="29" s="1"/>
  <c r="BG22" i="20"/>
  <c r="AV57" i="13"/>
  <c r="AV29" i="49" s="1"/>
  <c r="AV30" i="49" s="1"/>
  <c r="AV50" i="13"/>
  <c r="AV51" i="13" s="1"/>
  <c r="AR15" i="25"/>
  <c r="BN25" i="49"/>
  <c r="BO25" i="49"/>
  <c r="AX35" i="13"/>
  <c r="AX36" i="13" s="1"/>
  <c r="AW12" i="25" s="1"/>
  <c r="BB61" i="13"/>
  <c r="AX56" i="13"/>
  <c r="AW62" i="13"/>
  <c r="BC33" i="13"/>
  <c r="BC34" i="13"/>
  <c r="BB60" i="13"/>
  <c r="AV28" i="13"/>
  <c r="AU10" i="25" s="1"/>
  <c r="AU11" i="25" s="1"/>
  <c r="AW57" i="13"/>
  <c r="AW29" i="49" s="1"/>
  <c r="AW30" i="49" s="1"/>
  <c r="AY71" i="46"/>
  <c r="AY31" i="13" s="1"/>
  <c r="AY60" i="46"/>
  <c r="AY8" i="13" s="1"/>
  <c r="AZ70" i="46"/>
  <c r="AZ96" i="46" s="1"/>
  <c r="AZ66" i="46"/>
  <c r="AZ92" i="46" s="1"/>
  <c r="AZ62" i="46"/>
  <c r="AZ88" i="46" s="1"/>
  <c r="AZ68" i="46"/>
  <c r="AZ94" i="46" s="1"/>
  <c r="AZ61" i="46"/>
  <c r="AZ87" i="46" s="1"/>
  <c r="AZ67" i="46"/>
  <c r="AZ93" i="46" s="1"/>
  <c r="AZ74" i="46"/>
  <c r="AZ100" i="46" s="1"/>
  <c r="AZ65" i="46"/>
  <c r="AZ91" i="46" s="1"/>
  <c r="AZ64" i="46"/>
  <c r="AZ90" i="46" s="1"/>
  <c r="AZ73" i="46"/>
  <c r="AZ99" i="46" s="1"/>
  <c r="AZ63" i="46"/>
  <c r="AZ89" i="46" s="1"/>
  <c r="AZ69" i="46"/>
  <c r="AZ95" i="46" s="1"/>
  <c r="BC26" i="46"/>
  <c r="BC25" i="46"/>
  <c r="BC30" i="46"/>
  <c r="BC28" i="46"/>
  <c r="BC31" i="46"/>
  <c r="BC29" i="46"/>
  <c r="BC27" i="46"/>
  <c r="BC17" i="46"/>
  <c r="BC16" i="46"/>
  <c r="BC18" i="46"/>
  <c r="BC19" i="46"/>
  <c r="BC10" i="46"/>
  <c r="BC23" i="46"/>
  <c r="BC21" i="46"/>
  <c r="BC13" i="46"/>
  <c r="BC12" i="46"/>
  <c r="BC15" i="46"/>
  <c r="BC11" i="46"/>
  <c r="BC14" i="46"/>
  <c r="BC22" i="46"/>
  <c r="AY86" i="46"/>
  <c r="AY9" i="13" s="1"/>
  <c r="BB9" i="46"/>
  <c r="AY101" i="46"/>
  <c r="AY97" i="46"/>
  <c r="AY32" i="13" s="1"/>
  <c r="AZ77" i="46"/>
  <c r="AZ103" i="46" s="1"/>
  <c r="AZ78" i="46"/>
  <c r="AZ104" i="46" s="1"/>
  <c r="AZ81" i="46"/>
  <c r="AZ107" i="46" s="1"/>
  <c r="AZ80" i="46"/>
  <c r="AZ106" i="46" s="1"/>
  <c r="AZ79" i="46"/>
  <c r="AZ105" i="46" s="1"/>
  <c r="AZ76" i="46"/>
  <c r="AZ102" i="46" s="1"/>
  <c r="AY75" i="46"/>
  <c r="AY39" i="13" s="1"/>
  <c r="AZ82" i="46"/>
  <c r="AZ108" i="46" s="1"/>
  <c r="BA49" i="46"/>
  <c r="BB24" i="46"/>
  <c r="BC13" i="20"/>
  <c r="AS13" i="19"/>
  <c r="AW28" i="13"/>
  <c r="AV10" i="25" s="1"/>
  <c r="AV11" i="25" s="1"/>
  <c r="AZ98" i="46"/>
  <c r="BB20" i="46"/>
  <c r="AX27" i="13"/>
  <c r="AT13" i="19"/>
  <c r="AU13" i="19"/>
  <c r="AZ13" i="49"/>
  <c r="AZ26" i="49"/>
  <c r="AZ11" i="49" s="1"/>
  <c r="AV16" i="48"/>
  <c r="AX11" i="49"/>
  <c r="BO11" i="49" s="1"/>
  <c r="U17" i="29"/>
  <c r="S17" i="48"/>
  <c r="S14" i="19"/>
  <c r="AX22" i="25"/>
  <c r="AY26" i="13"/>
  <c r="AY63" i="13" s="1"/>
  <c r="AW51" i="13"/>
  <c r="AV13" i="25" s="1"/>
  <c r="AY9" i="25"/>
  <c r="BA52" i="46"/>
  <c r="BA54" i="46"/>
  <c r="BA51" i="46"/>
  <c r="BA53" i="46"/>
  <c r="BA56" i="46"/>
  <c r="BA55" i="46"/>
  <c r="BA57" i="46"/>
  <c r="BA41" i="46"/>
  <c r="BA40" i="46"/>
  <c r="BA42" i="46"/>
  <c r="BA43" i="46"/>
  <c r="BA44" i="46"/>
  <c r="BA45" i="46"/>
  <c r="AY9" i="29"/>
  <c r="AY19" i="29" s="1"/>
  <c r="AW12" i="19"/>
  <c r="BA16" i="33"/>
  <c r="BA13" i="48" s="1"/>
  <c r="BA19" i="33"/>
  <c r="BC3" i="33"/>
  <c r="BC13" i="33" s="1"/>
  <c r="BB2" i="33"/>
  <c r="BB1" i="33"/>
  <c r="BB15" i="33"/>
  <c r="BB21" i="33" s="1"/>
  <c r="BB27" i="33" s="1"/>
  <c r="BB14" i="33"/>
  <c r="BB20" i="33" s="1"/>
  <c r="BB26" i="33" s="1"/>
  <c r="BA4" i="33"/>
  <c r="AZ22" i="33"/>
  <c r="AZ25" i="33"/>
  <c r="AZ28" i="33" s="1"/>
  <c r="AZ12" i="48" s="1"/>
  <c r="AZ10" i="48" s="1"/>
  <c r="AX83" i="46"/>
  <c r="BA37" i="46"/>
  <c r="BA39" i="46"/>
  <c r="BA36" i="46"/>
  <c r="BA38" i="46"/>
  <c r="BA32" i="46"/>
  <c r="BC3" i="11"/>
  <c r="BB2" i="11"/>
  <c r="BA4" i="11"/>
  <c r="BB1" i="11"/>
  <c r="BI2" i="20"/>
  <c r="BH4" i="20"/>
  <c r="BH21" i="20" s="1"/>
  <c r="BJ3" i="20"/>
  <c r="BI1" i="20"/>
  <c r="AX109" i="46"/>
  <c r="BB2" i="19"/>
  <c r="BC3" i="19"/>
  <c r="BA4" i="19"/>
  <c r="BB1" i="19"/>
  <c r="BB113" i="46"/>
  <c r="BB112" i="46"/>
  <c r="BA2" i="25"/>
  <c r="BB3" i="25"/>
  <c r="BA1" i="25"/>
  <c r="AZ4" i="25"/>
  <c r="BC2" i="13"/>
  <c r="BD3" i="13"/>
  <c r="BC1" i="13"/>
  <c r="BB4" i="13"/>
  <c r="BA47" i="46"/>
  <c r="BA72" i="46" s="1"/>
  <c r="BA48" i="46"/>
  <c r="BD3" i="46"/>
  <c r="BB4" i="46"/>
  <c r="BC1" i="46"/>
  <c r="BC2" i="46"/>
  <c r="BC2" i="10"/>
  <c r="BB4" i="10"/>
  <c r="BD3" i="10"/>
  <c r="BC1" i="10"/>
  <c r="BE3" i="29"/>
  <c r="BD2" i="29"/>
  <c r="BC4" i="29"/>
  <c r="BD1" i="29"/>
  <c r="BA4" i="24"/>
  <c r="BB1" i="24"/>
  <c r="BB2" i="24"/>
  <c r="BC3" i="24"/>
  <c r="BA58" i="13" l="1"/>
  <c r="BA19" i="49" s="1"/>
  <c r="BD20" i="13"/>
  <c r="BD22" i="13"/>
  <c r="BD24" i="13"/>
  <c r="BD25" i="13"/>
  <c r="BD23" i="13"/>
  <c r="BD21" i="13"/>
  <c r="AZ21" i="49"/>
  <c r="AZ10" i="49" s="1"/>
  <c r="AZ9" i="49" s="1"/>
  <c r="AZ16" i="48" s="1"/>
  <c r="BB17" i="13"/>
  <c r="BB16" i="11"/>
  <c r="BB10" i="13"/>
  <c r="BB9" i="11"/>
  <c r="BB19" i="13"/>
  <c r="BB18" i="11"/>
  <c r="BB13" i="13"/>
  <c r="BB12" i="11"/>
  <c r="BB11" i="13"/>
  <c r="BB10" i="11"/>
  <c r="BB16" i="13"/>
  <c r="BB15" i="11"/>
  <c r="BB14" i="13"/>
  <c r="BB13" i="11"/>
  <c r="BD12" i="10"/>
  <c r="BD15" i="10"/>
  <c r="BD11" i="10"/>
  <c r="BD13" i="10"/>
  <c r="BD8" i="10"/>
  <c r="BD16" i="10"/>
  <c r="BD10" i="10"/>
  <c r="BD17" i="10"/>
  <c r="BD14" i="10"/>
  <c r="BD9" i="10"/>
  <c r="BB12" i="13"/>
  <c r="BB11" i="11"/>
  <c r="BB18" i="13"/>
  <c r="BB17" i="11"/>
  <c r="BB15" i="13"/>
  <c r="BB14" i="11"/>
  <c r="BH22" i="20"/>
  <c r="BD41" i="13"/>
  <c r="BD49" i="13"/>
  <c r="BD44" i="13"/>
  <c r="BD47" i="13"/>
  <c r="BD46" i="13"/>
  <c r="BD43" i="13"/>
  <c r="BD45" i="13"/>
  <c r="BD42" i="13"/>
  <c r="BD48" i="13"/>
  <c r="BA19" i="11"/>
  <c r="BC8" i="29" s="1"/>
  <c r="BA59" i="13"/>
  <c r="BA20" i="49" s="1"/>
  <c r="AY35" i="13"/>
  <c r="AY36" i="13" s="1"/>
  <c r="AX12" i="25" s="1"/>
  <c r="BC61" i="13"/>
  <c r="BC60" i="13"/>
  <c r="BD33" i="13"/>
  <c r="BD34" i="13"/>
  <c r="AY56" i="13"/>
  <c r="AV62" i="13"/>
  <c r="AZ71" i="46"/>
  <c r="AZ31" i="13" s="1"/>
  <c r="BA70" i="46"/>
  <c r="BA96" i="46" s="1"/>
  <c r="BA74" i="46"/>
  <c r="BA100" i="46" s="1"/>
  <c r="BA63" i="46"/>
  <c r="BA89" i="46" s="1"/>
  <c r="BA66" i="46"/>
  <c r="BA92" i="46" s="1"/>
  <c r="BA69" i="46"/>
  <c r="BA95" i="46" s="1"/>
  <c r="BA62" i="46"/>
  <c r="BA88" i="46" s="1"/>
  <c r="BA67" i="46"/>
  <c r="BA93" i="46" s="1"/>
  <c r="BA61" i="46"/>
  <c r="BA87" i="46" s="1"/>
  <c r="BA73" i="46"/>
  <c r="BA99" i="46" s="1"/>
  <c r="BA64" i="46"/>
  <c r="BA90" i="46" s="1"/>
  <c r="BA68" i="46"/>
  <c r="BA94" i="46" s="1"/>
  <c r="BA65" i="46"/>
  <c r="BA91" i="46" s="1"/>
  <c r="BD27" i="46"/>
  <c r="BD26" i="46"/>
  <c r="BD25" i="46"/>
  <c r="BD28" i="46"/>
  <c r="BD31" i="46"/>
  <c r="BD30" i="46"/>
  <c r="BD29" i="46"/>
  <c r="BD18" i="46"/>
  <c r="BD11" i="46"/>
  <c r="BD21" i="46"/>
  <c r="BD16" i="46"/>
  <c r="BD17" i="46"/>
  <c r="BD19" i="46"/>
  <c r="BD15" i="46"/>
  <c r="BD23" i="46"/>
  <c r="BD10" i="46"/>
  <c r="BD13" i="46"/>
  <c r="BD22" i="46"/>
  <c r="BD14" i="46"/>
  <c r="BD12" i="46"/>
  <c r="AZ86" i="46"/>
  <c r="AZ9" i="13" s="1"/>
  <c r="AZ60" i="46"/>
  <c r="AZ8" i="13" s="1"/>
  <c r="BC9" i="46"/>
  <c r="AZ101" i="46"/>
  <c r="AZ97" i="46"/>
  <c r="AZ32" i="13" s="1"/>
  <c r="AZ75" i="46"/>
  <c r="AZ39" i="13" s="1"/>
  <c r="BA82" i="46"/>
  <c r="BA108" i="46" s="1"/>
  <c r="BA77" i="46"/>
  <c r="BA103" i="46" s="1"/>
  <c r="BA80" i="46"/>
  <c r="BA106" i="46" s="1"/>
  <c r="BA79" i="46"/>
  <c r="BA105" i="46" s="1"/>
  <c r="BA81" i="46"/>
  <c r="BA107" i="46" s="1"/>
  <c r="BA76" i="46"/>
  <c r="BA102" i="46" s="1"/>
  <c r="BA78" i="46"/>
  <c r="BA104" i="46" s="1"/>
  <c r="BB49" i="46"/>
  <c r="BC24" i="46"/>
  <c r="BD13" i="20"/>
  <c r="BB14" i="20"/>
  <c r="AZ14" i="20"/>
  <c r="Z15" i="20"/>
  <c r="BA14" i="20"/>
  <c r="BA26" i="49"/>
  <c r="AV14" i="25"/>
  <c r="AV17" i="25" s="1"/>
  <c r="AV23" i="25" s="1"/>
  <c r="AW64" i="13"/>
  <c r="AX13" i="29" s="1"/>
  <c r="AX28" i="13"/>
  <c r="AW10" i="25" s="1"/>
  <c r="AW11" i="25" s="1"/>
  <c r="BA98" i="46"/>
  <c r="BC20" i="46"/>
  <c r="AY27" i="13"/>
  <c r="BA13" i="49"/>
  <c r="BA18" i="48" s="1"/>
  <c r="AX9" i="49"/>
  <c r="BO9" i="49" s="1"/>
  <c r="AZ18" i="48"/>
  <c r="AW53" i="13"/>
  <c r="U20" i="29"/>
  <c r="U21" i="29"/>
  <c r="AU13" i="25"/>
  <c r="AU14" i="25" s="1"/>
  <c r="AV53" i="13"/>
  <c r="AZ9" i="25"/>
  <c r="AY22" i="25"/>
  <c r="AZ26" i="13"/>
  <c r="AZ63" i="13" s="1"/>
  <c r="BB51" i="46"/>
  <c r="BB53" i="46"/>
  <c r="BB52" i="46"/>
  <c r="BB54" i="46"/>
  <c r="BB55" i="46"/>
  <c r="BB57" i="46"/>
  <c r="BB56" i="46"/>
  <c r="BB40" i="46"/>
  <c r="BB42" i="46"/>
  <c r="BB41" i="46"/>
  <c r="BB44" i="46"/>
  <c r="BB43" i="46"/>
  <c r="BB45" i="46"/>
  <c r="AX40" i="13"/>
  <c r="AX50" i="13" s="1"/>
  <c r="AX12" i="19"/>
  <c r="AZ9" i="29"/>
  <c r="BD3" i="33"/>
  <c r="BD13" i="33" s="1"/>
  <c r="BC15" i="33"/>
  <c r="BC21" i="33" s="1"/>
  <c r="BC27" i="33" s="1"/>
  <c r="BC1" i="33"/>
  <c r="BC14" i="33"/>
  <c r="BC20" i="33" s="1"/>
  <c r="BC26" i="33" s="1"/>
  <c r="BC2" i="33"/>
  <c r="BB4" i="33"/>
  <c r="BA25" i="33"/>
  <c r="BA28" i="33" s="1"/>
  <c r="BA12" i="48" s="1"/>
  <c r="BA10" i="48" s="1"/>
  <c r="BA22" i="33"/>
  <c r="BB19" i="33"/>
  <c r="BB16" i="33"/>
  <c r="BB13" i="48" s="1"/>
  <c r="BB36" i="46"/>
  <c r="BB38" i="46"/>
  <c r="BB37" i="46"/>
  <c r="BB39" i="46"/>
  <c r="BD3" i="11"/>
  <c r="BC2" i="11"/>
  <c r="BB4" i="11"/>
  <c r="BC1" i="11"/>
  <c r="AY83" i="46"/>
  <c r="AY109" i="46"/>
  <c r="BJ1" i="20"/>
  <c r="BI4" i="20"/>
  <c r="BI21" i="20" s="1"/>
  <c r="BK3" i="20"/>
  <c r="BJ2" i="20"/>
  <c r="BC2" i="19"/>
  <c r="BD3" i="19"/>
  <c r="BB4" i="19"/>
  <c r="BC1" i="19"/>
  <c r="BE3" i="46"/>
  <c r="BC4" i="46"/>
  <c r="BD2" i="46"/>
  <c r="BD1" i="46"/>
  <c r="BB47" i="46"/>
  <c r="BB72" i="46" s="1"/>
  <c r="BB48" i="46"/>
  <c r="BC113" i="46"/>
  <c r="BC112" i="46"/>
  <c r="BB32" i="46"/>
  <c r="BD2" i="13"/>
  <c r="BE3" i="13"/>
  <c r="BD1" i="13"/>
  <c r="BC4" i="13"/>
  <c r="BB2" i="25"/>
  <c r="BC3" i="25"/>
  <c r="BA4" i="25"/>
  <c r="BB1" i="25"/>
  <c r="BC2" i="24"/>
  <c r="BD3" i="24"/>
  <c r="BB4" i="24"/>
  <c r="BC1" i="24"/>
  <c r="BE2" i="29"/>
  <c r="BF3" i="29"/>
  <c r="BD4" i="29"/>
  <c r="BE1" i="29"/>
  <c r="BD2" i="10"/>
  <c r="BC4" i="10"/>
  <c r="BE3" i="10"/>
  <c r="BD1" i="10"/>
  <c r="BB58" i="13" l="1"/>
  <c r="BB19" i="49" s="1"/>
  <c r="BE20" i="13"/>
  <c r="BE22" i="13"/>
  <c r="BE24" i="13"/>
  <c r="BE25" i="13"/>
  <c r="BE23" i="13"/>
  <c r="BE21" i="13"/>
  <c r="BA21" i="49"/>
  <c r="BA10" i="49" s="1"/>
  <c r="AU17" i="25"/>
  <c r="AU23" i="25" s="1"/>
  <c r="BC19" i="13"/>
  <c r="BC18" i="11"/>
  <c r="BC16" i="13"/>
  <c r="BC15" i="11"/>
  <c r="BC12" i="13"/>
  <c r="BC11" i="11"/>
  <c r="BC18" i="13"/>
  <c r="BC17" i="11"/>
  <c r="BC10" i="13"/>
  <c r="BC9" i="11"/>
  <c r="BC15" i="13"/>
  <c r="BC14" i="11"/>
  <c r="BC13" i="13"/>
  <c r="BC12" i="11"/>
  <c r="BC17" i="13"/>
  <c r="BC16" i="11"/>
  <c r="BC14" i="13"/>
  <c r="BC13" i="11"/>
  <c r="BC11" i="13"/>
  <c r="BC10" i="11"/>
  <c r="BE9" i="10"/>
  <c r="BE12" i="10"/>
  <c r="BE15" i="10"/>
  <c r="BE11" i="10"/>
  <c r="BE16" i="10"/>
  <c r="BE8" i="10"/>
  <c r="BE13" i="10"/>
  <c r="BE10" i="10"/>
  <c r="BE17" i="10"/>
  <c r="BE14" i="10"/>
  <c r="BI22" i="20"/>
  <c r="BE46" i="13"/>
  <c r="BE41" i="13"/>
  <c r="BE44" i="13"/>
  <c r="BE49" i="13"/>
  <c r="BE43" i="13"/>
  <c r="BE42" i="13"/>
  <c r="BE47" i="13"/>
  <c r="BE48" i="13"/>
  <c r="BE45" i="13"/>
  <c r="BB59" i="13"/>
  <c r="BB20" i="49" s="1"/>
  <c r="BB19" i="11"/>
  <c r="BD8" i="29" s="1"/>
  <c r="BA71" i="46"/>
  <c r="BA31" i="13" s="1"/>
  <c r="AV15" i="25"/>
  <c r="AZ35" i="13"/>
  <c r="AZ36" i="13" s="1"/>
  <c r="AY12" i="25" s="1"/>
  <c r="BD61" i="13"/>
  <c r="BD60" i="13"/>
  <c r="BE34" i="13"/>
  <c r="BE33" i="13"/>
  <c r="AZ56" i="13"/>
  <c r="AX57" i="13"/>
  <c r="AX29" i="49" s="1"/>
  <c r="AX30" i="49" s="1"/>
  <c r="BA60" i="46"/>
  <c r="BA8" i="13" s="1"/>
  <c r="BB63" i="46"/>
  <c r="BB89" i="46" s="1"/>
  <c r="BB69" i="46"/>
  <c r="BB95" i="46" s="1"/>
  <c r="BB64" i="46"/>
  <c r="BB90" i="46" s="1"/>
  <c r="BB70" i="46"/>
  <c r="BB96" i="46" s="1"/>
  <c r="BB74" i="46"/>
  <c r="BB100" i="46" s="1"/>
  <c r="BB62" i="46"/>
  <c r="BB88" i="46" s="1"/>
  <c r="BB68" i="46"/>
  <c r="BB94" i="46" s="1"/>
  <c r="BB61" i="46"/>
  <c r="BB87" i="46" s="1"/>
  <c r="BB66" i="46"/>
  <c r="BB92" i="46" s="1"/>
  <c r="BB73" i="46"/>
  <c r="BB99" i="46" s="1"/>
  <c r="BB67" i="46"/>
  <c r="BB93" i="46" s="1"/>
  <c r="BB65" i="46"/>
  <c r="BB91" i="46" s="1"/>
  <c r="BE28" i="46"/>
  <c r="BE27" i="46"/>
  <c r="BE26" i="46"/>
  <c r="BE29" i="46"/>
  <c r="BE25" i="46"/>
  <c r="BE31" i="46"/>
  <c r="BE30" i="46"/>
  <c r="BE19" i="46"/>
  <c r="BE16" i="46"/>
  <c r="BE22" i="46"/>
  <c r="BE12" i="46"/>
  <c r="BE15" i="46"/>
  <c r="BE17" i="46"/>
  <c r="BE18" i="46"/>
  <c r="BE14" i="46"/>
  <c r="BE21" i="46"/>
  <c r="BE13" i="46"/>
  <c r="BE11" i="46"/>
  <c r="BE23" i="46"/>
  <c r="BE10" i="46"/>
  <c r="BA86" i="46"/>
  <c r="BA9" i="13" s="1"/>
  <c r="BD9" i="46"/>
  <c r="BA101" i="46"/>
  <c r="BA97" i="46"/>
  <c r="BA32" i="13" s="1"/>
  <c r="BA75" i="46"/>
  <c r="BA39" i="13" s="1"/>
  <c r="BB77" i="46"/>
  <c r="BB103" i="46" s="1"/>
  <c r="BB78" i="46"/>
  <c r="BB104" i="46" s="1"/>
  <c r="BB80" i="46"/>
  <c r="BB106" i="46" s="1"/>
  <c r="BB81" i="46"/>
  <c r="BB107" i="46" s="1"/>
  <c r="BB76" i="46"/>
  <c r="BB102" i="46" s="1"/>
  <c r="BB82" i="46"/>
  <c r="BB108" i="46" s="1"/>
  <c r="BB79" i="46"/>
  <c r="BB105" i="46" s="1"/>
  <c r="BC49" i="46"/>
  <c r="BD24" i="46"/>
  <c r="BA9" i="25"/>
  <c r="BB26" i="49"/>
  <c r="BB11" i="49" s="1"/>
  <c r="BE13" i="20"/>
  <c r="AV64" i="13"/>
  <c r="AW13" i="29" s="1"/>
  <c r="AW14" i="29" s="1"/>
  <c r="AW18" i="29" s="1"/>
  <c r="AY28" i="13"/>
  <c r="AX10" i="25" s="1"/>
  <c r="AX11" i="25" s="1"/>
  <c r="BB98" i="46"/>
  <c r="BD20" i="46"/>
  <c r="BB13" i="49"/>
  <c r="BB18" i="48" s="1"/>
  <c r="BA11" i="49"/>
  <c r="AX16" i="48"/>
  <c r="BO16" i="48" s="1"/>
  <c r="V17" i="29"/>
  <c r="T17" i="48"/>
  <c r="T14" i="19"/>
  <c r="AX14" i="29"/>
  <c r="AY12" i="19"/>
  <c r="AZ19" i="29"/>
  <c r="AU15" i="25"/>
  <c r="AZ27" i="13"/>
  <c r="AZ22" i="25"/>
  <c r="BA26" i="13"/>
  <c r="BA63" i="13" s="1"/>
  <c r="AX62" i="13"/>
  <c r="BC52" i="46"/>
  <c r="BC54" i="46"/>
  <c r="BC51" i="46"/>
  <c r="BC53" i="46"/>
  <c r="BC56" i="46"/>
  <c r="BC55" i="46"/>
  <c r="BC57" i="46"/>
  <c r="BC41" i="46"/>
  <c r="BC40" i="46"/>
  <c r="BC42" i="46"/>
  <c r="BC43" i="46"/>
  <c r="BC44" i="46"/>
  <c r="BC45" i="46"/>
  <c r="BA9" i="29"/>
  <c r="BA19" i="29" s="1"/>
  <c r="BB25" i="33"/>
  <c r="BB28" i="33" s="1"/>
  <c r="BB12" i="48" s="1"/>
  <c r="BB10" i="48" s="1"/>
  <c r="BB22" i="33"/>
  <c r="BC19" i="33"/>
  <c r="BC16" i="33"/>
  <c r="BC13" i="48" s="1"/>
  <c r="BE3" i="33"/>
  <c r="BE13" i="33" s="1"/>
  <c r="BD2" i="33"/>
  <c r="BD1" i="33"/>
  <c r="BD15" i="33"/>
  <c r="BD21" i="33" s="1"/>
  <c r="BD27" i="33" s="1"/>
  <c r="BD14" i="33"/>
  <c r="BD20" i="33" s="1"/>
  <c r="BD26" i="33" s="1"/>
  <c r="BC4" i="33"/>
  <c r="BC37" i="46"/>
  <c r="BC39" i="46"/>
  <c r="BC36" i="46"/>
  <c r="BC38" i="46"/>
  <c r="AZ83" i="46"/>
  <c r="AY40" i="13"/>
  <c r="AY50" i="13" s="1"/>
  <c r="BE3" i="11"/>
  <c r="BD2" i="11"/>
  <c r="BC4" i="11"/>
  <c r="BD1" i="11"/>
  <c r="BK1" i="20"/>
  <c r="BL3" i="20"/>
  <c r="BJ4" i="20"/>
  <c r="BJ21" i="20" s="1"/>
  <c r="BK2" i="20"/>
  <c r="BD2" i="19"/>
  <c r="BE3" i="19"/>
  <c r="BC4" i="19"/>
  <c r="BD1" i="19"/>
  <c r="BC2" i="25"/>
  <c r="BD3" i="25"/>
  <c r="BC1" i="25"/>
  <c r="BB4" i="25"/>
  <c r="BE2" i="13"/>
  <c r="BF3" i="13"/>
  <c r="BE1" i="13"/>
  <c r="BD4" i="13"/>
  <c r="BC47" i="46"/>
  <c r="BC72" i="46" s="1"/>
  <c r="BC48" i="46"/>
  <c r="BC32" i="46"/>
  <c r="BD112" i="46"/>
  <c r="BD113" i="46"/>
  <c r="BF3" i="46"/>
  <c r="BE1" i="46"/>
  <c r="BD4" i="46"/>
  <c r="BE2" i="46"/>
  <c r="BE2" i="10"/>
  <c r="BF3" i="10"/>
  <c r="BD4" i="10"/>
  <c r="BE1" i="10"/>
  <c r="BG3" i="29"/>
  <c r="BF2" i="29"/>
  <c r="BE4" i="29"/>
  <c r="BF1" i="29"/>
  <c r="BC4" i="24"/>
  <c r="BD1" i="24"/>
  <c r="BD2" i="24"/>
  <c r="BE3" i="24"/>
  <c r="BB21" i="49" l="1"/>
  <c r="BB10" i="49" s="1"/>
  <c r="BC58" i="13"/>
  <c r="BC19" i="49" s="1"/>
  <c r="BF20" i="13"/>
  <c r="BF25" i="13"/>
  <c r="BF23" i="13"/>
  <c r="BF22" i="13"/>
  <c r="BF21" i="13"/>
  <c r="BF24" i="13"/>
  <c r="BD17" i="13"/>
  <c r="BD16" i="11"/>
  <c r="BD14" i="13"/>
  <c r="BD13" i="11"/>
  <c r="BD11" i="13"/>
  <c r="BD10" i="11"/>
  <c r="BD16" i="13"/>
  <c r="BD15" i="11"/>
  <c r="BD19" i="13"/>
  <c r="BD18" i="11"/>
  <c r="BD12" i="13"/>
  <c r="BD11" i="11"/>
  <c r="BD15" i="13"/>
  <c r="BD14" i="11"/>
  <c r="BD10" i="13"/>
  <c r="BD9" i="11"/>
  <c r="BF9" i="10"/>
  <c r="BF12" i="10"/>
  <c r="BF14" i="10"/>
  <c r="BF11" i="10"/>
  <c r="BF8" i="10"/>
  <c r="BF10" i="10"/>
  <c r="BF17" i="10"/>
  <c r="BF13" i="10"/>
  <c r="BF15" i="10"/>
  <c r="BF16" i="10"/>
  <c r="BD18" i="13"/>
  <c r="BD17" i="11"/>
  <c r="BD13" i="13"/>
  <c r="BD12" i="11"/>
  <c r="BJ22" i="20"/>
  <c r="BF43" i="13"/>
  <c r="BF46" i="13"/>
  <c r="BF41" i="13"/>
  <c r="BF49" i="13"/>
  <c r="BF44" i="13"/>
  <c r="BF45" i="13"/>
  <c r="BF42" i="13"/>
  <c r="BF48" i="13"/>
  <c r="BF47" i="13"/>
  <c r="BA35" i="13"/>
  <c r="BA36" i="13" s="1"/>
  <c r="AZ12" i="25" s="1"/>
  <c r="BB9" i="49"/>
  <c r="BB16" i="48" s="1"/>
  <c r="BC19" i="11"/>
  <c r="BE8" i="29" s="1"/>
  <c r="BC59" i="13"/>
  <c r="BC20" i="49" s="1"/>
  <c r="BE61" i="13"/>
  <c r="AY57" i="13"/>
  <c r="AY29" i="49" s="1"/>
  <c r="AY30" i="49" s="1"/>
  <c r="BA56" i="13"/>
  <c r="BF33" i="13"/>
  <c r="BF34" i="13"/>
  <c r="BE60" i="13"/>
  <c r="BB71" i="46"/>
  <c r="BB31" i="13" s="1"/>
  <c r="BC69" i="46"/>
  <c r="BC95" i="46" s="1"/>
  <c r="BC61" i="46"/>
  <c r="BC87" i="46" s="1"/>
  <c r="BC67" i="46"/>
  <c r="BC93" i="46" s="1"/>
  <c r="BC63" i="46"/>
  <c r="BC89" i="46" s="1"/>
  <c r="BC68" i="46"/>
  <c r="BC94" i="46" s="1"/>
  <c r="BC64" i="46"/>
  <c r="BC90" i="46" s="1"/>
  <c r="BC65" i="46"/>
  <c r="BC91" i="46" s="1"/>
  <c r="BC74" i="46"/>
  <c r="BC100" i="46" s="1"/>
  <c r="BC70" i="46"/>
  <c r="BC96" i="46" s="1"/>
  <c r="BC62" i="46"/>
  <c r="BC88" i="46" s="1"/>
  <c r="BC66" i="46"/>
  <c r="BC92" i="46" s="1"/>
  <c r="BC73" i="46"/>
  <c r="BC99" i="46" s="1"/>
  <c r="BF29" i="46"/>
  <c r="BF28" i="46"/>
  <c r="BF25" i="46"/>
  <c r="BF26" i="46"/>
  <c r="BF31" i="46"/>
  <c r="BF27" i="46"/>
  <c r="BF30" i="46"/>
  <c r="BF23" i="46"/>
  <c r="BF17" i="46"/>
  <c r="BF13" i="46"/>
  <c r="BF16" i="46"/>
  <c r="BF12" i="46"/>
  <c r="BF15" i="46"/>
  <c r="BF18" i="46"/>
  <c r="BF19" i="46"/>
  <c r="BF21" i="46"/>
  <c r="BF10" i="46"/>
  <c r="BF11" i="46"/>
  <c r="BF14" i="46"/>
  <c r="BF22" i="46"/>
  <c r="BB86" i="46"/>
  <c r="BB9" i="13" s="1"/>
  <c r="BB60" i="46"/>
  <c r="BB8" i="13" s="1"/>
  <c r="BE9" i="46"/>
  <c r="BB101" i="46"/>
  <c r="BB97" i="46"/>
  <c r="BB32" i="13" s="1"/>
  <c r="BC77" i="46"/>
  <c r="BC103" i="46" s="1"/>
  <c r="BC78" i="46"/>
  <c r="BC104" i="46" s="1"/>
  <c r="BC76" i="46"/>
  <c r="BC102" i="46" s="1"/>
  <c r="BB75" i="46"/>
  <c r="BB39" i="13" s="1"/>
  <c r="BC81" i="46"/>
  <c r="BC107" i="46" s="1"/>
  <c r="BC79" i="46"/>
  <c r="BC105" i="46" s="1"/>
  <c r="BC82" i="46"/>
  <c r="BC108" i="46" s="1"/>
  <c r="BC80" i="46"/>
  <c r="BC106" i="46" s="1"/>
  <c r="BD49" i="46"/>
  <c r="BE24" i="46"/>
  <c r="BF13" i="20"/>
  <c r="AA15" i="20"/>
  <c r="BC26" i="49"/>
  <c r="BC11" i="49" s="1"/>
  <c r="AX51" i="13"/>
  <c r="AW13" i="25" s="1"/>
  <c r="AW14" i="25" s="1"/>
  <c r="AW17" i="25" s="1"/>
  <c r="AW23" i="25" s="1"/>
  <c r="AZ28" i="13"/>
  <c r="AY10" i="25" s="1"/>
  <c r="AY11" i="25" s="1"/>
  <c r="BC98" i="46"/>
  <c r="BA27" i="13"/>
  <c r="BE20" i="46"/>
  <c r="AV13" i="19"/>
  <c r="BC13" i="49"/>
  <c r="BC18" i="48" s="1"/>
  <c r="BA9" i="49"/>
  <c r="AX18" i="29"/>
  <c r="AW13" i="19"/>
  <c r="V21" i="29"/>
  <c r="V20" i="29"/>
  <c r="BA22" i="25"/>
  <c r="BB26" i="13"/>
  <c r="BB63" i="13" s="1"/>
  <c r="AY62" i="13"/>
  <c r="BB9" i="25"/>
  <c r="BD51" i="46"/>
  <c r="BD76" i="46" s="1"/>
  <c r="BD102" i="46" s="1"/>
  <c r="BD53" i="46"/>
  <c r="BD78" i="46" s="1"/>
  <c r="BD104" i="46" s="1"/>
  <c r="BD52" i="46"/>
  <c r="BD77" i="46" s="1"/>
  <c r="BD103" i="46" s="1"/>
  <c r="BD54" i="46"/>
  <c r="BD79" i="46" s="1"/>
  <c r="BD105" i="46" s="1"/>
  <c r="BD55" i="46"/>
  <c r="BD80" i="46" s="1"/>
  <c r="BD106" i="46" s="1"/>
  <c r="BD57" i="46"/>
  <c r="BD82" i="46" s="1"/>
  <c r="BD108" i="46" s="1"/>
  <c r="BD56" i="46"/>
  <c r="BD81" i="46" s="1"/>
  <c r="BD107" i="46" s="1"/>
  <c r="BD40" i="46"/>
  <c r="BD41" i="46"/>
  <c r="BD42" i="46"/>
  <c r="BD44" i="46"/>
  <c r="BD43" i="46"/>
  <c r="BD45" i="46"/>
  <c r="AZ12" i="19"/>
  <c r="BB9" i="29"/>
  <c r="BF3" i="33"/>
  <c r="BF13" i="33" s="1"/>
  <c r="BE15" i="33"/>
  <c r="BE21" i="33" s="1"/>
  <c r="BE27" i="33" s="1"/>
  <c r="BE1" i="33"/>
  <c r="BE14" i="33"/>
  <c r="BE20" i="33" s="1"/>
  <c r="BE26" i="33" s="1"/>
  <c r="BE2" i="33"/>
  <c r="BD4" i="33"/>
  <c r="BD19" i="33"/>
  <c r="BD16" i="33"/>
  <c r="BD13" i="48" s="1"/>
  <c r="BC25" i="33"/>
  <c r="BC28" i="33" s="1"/>
  <c r="BC12" i="48" s="1"/>
  <c r="BC22" i="33"/>
  <c r="BD36" i="46"/>
  <c r="BD38" i="46"/>
  <c r="BD37" i="46"/>
  <c r="BD39" i="46"/>
  <c r="BA83" i="46"/>
  <c r="BF3" i="11"/>
  <c r="BE2" i="11"/>
  <c r="BD4" i="11"/>
  <c r="BE1" i="11"/>
  <c r="BL1" i="20"/>
  <c r="BK4" i="20"/>
  <c r="BK21" i="20" s="1"/>
  <c r="BM3" i="20"/>
  <c r="BL2" i="20"/>
  <c r="BE2" i="19"/>
  <c r="BF3" i="19"/>
  <c r="BD4" i="19"/>
  <c r="BE1" i="19"/>
  <c r="BE112" i="46"/>
  <c r="BE113" i="46"/>
  <c r="BD47" i="46"/>
  <c r="BD72" i="46" s="1"/>
  <c r="BD48" i="46"/>
  <c r="BD32" i="46"/>
  <c r="BF2" i="13"/>
  <c r="BG3" i="13"/>
  <c r="BF1" i="13"/>
  <c r="BE4" i="13"/>
  <c r="BD2" i="25"/>
  <c r="BE3" i="25"/>
  <c r="BC4" i="25"/>
  <c r="BD1" i="25"/>
  <c r="BF2" i="46"/>
  <c r="BG3" i="46"/>
  <c r="BE4" i="46"/>
  <c r="BF1" i="46"/>
  <c r="AZ40" i="13"/>
  <c r="AZ50" i="13" s="1"/>
  <c r="AZ109" i="46"/>
  <c r="BG2" i="29"/>
  <c r="BH3" i="29"/>
  <c r="BF4" i="29"/>
  <c r="BG1" i="29"/>
  <c r="BE2" i="24"/>
  <c r="BF3" i="24"/>
  <c r="BD4" i="24"/>
  <c r="BE1" i="24"/>
  <c r="BF2" i="10"/>
  <c r="BE4" i="10"/>
  <c r="BG3" i="10"/>
  <c r="BF1" i="10"/>
  <c r="BC21" i="49" l="1"/>
  <c r="BC10" i="49" s="1"/>
  <c r="BC9" i="49" s="1"/>
  <c r="BC16" i="48" s="1"/>
  <c r="BG20" i="13"/>
  <c r="BG25" i="13"/>
  <c r="BG24" i="13"/>
  <c r="BG22" i="13"/>
  <c r="BG21" i="13"/>
  <c r="BG23" i="13"/>
  <c r="BD58" i="13"/>
  <c r="BD19" i="49" s="1"/>
  <c r="BE10" i="13"/>
  <c r="BE9" i="11"/>
  <c r="BE13" i="13"/>
  <c r="BE12" i="11"/>
  <c r="BE16" i="13"/>
  <c r="BE15" i="11"/>
  <c r="BE14" i="13"/>
  <c r="BE13" i="11"/>
  <c r="BE11" i="13"/>
  <c r="BE10" i="11"/>
  <c r="BE18" i="13"/>
  <c r="BE17" i="11"/>
  <c r="BE17" i="13"/>
  <c r="BE16" i="11"/>
  <c r="BE15" i="13"/>
  <c r="BE14" i="11"/>
  <c r="BG9" i="10"/>
  <c r="BG14" i="10"/>
  <c r="BG8" i="10"/>
  <c r="BG11" i="10"/>
  <c r="BG16" i="10"/>
  <c r="BG12" i="10"/>
  <c r="BG10" i="10"/>
  <c r="BG17" i="10"/>
  <c r="BG13" i="10"/>
  <c r="BG15" i="10"/>
  <c r="BE19" i="13"/>
  <c r="BE18" i="11"/>
  <c r="BE12" i="13"/>
  <c r="BE11" i="11"/>
  <c r="BK22" i="20"/>
  <c r="BG48" i="13"/>
  <c r="BG43" i="13"/>
  <c r="BG46" i="13"/>
  <c r="BG42" i="13"/>
  <c r="BG47" i="13"/>
  <c r="BG44" i="13"/>
  <c r="BG41" i="13"/>
  <c r="BG49" i="13"/>
  <c r="BG45" i="13"/>
  <c r="BD19" i="11"/>
  <c r="BF8" i="29" s="1"/>
  <c r="BD59" i="13"/>
  <c r="BD20" i="49" s="1"/>
  <c r="AW15" i="25"/>
  <c r="BC71" i="46"/>
  <c r="BC31" i="13" s="1"/>
  <c r="BB35" i="13"/>
  <c r="BB36" i="13" s="1"/>
  <c r="BA12" i="25" s="1"/>
  <c r="BF61" i="13"/>
  <c r="BB56" i="13"/>
  <c r="BG34" i="13"/>
  <c r="BG33" i="13"/>
  <c r="AZ57" i="13"/>
  <c r="AZ29" i="49" s="1"/>
  <c r="AZ30" i="49" s="1"/>
  <c r="BF60" i="13"/>
  <c r="BD61" i="46"/>
  <c r="BD87" i="46" s="1"/>
  <c r="BD66" i="46"/>
  <c r="BD92" i="46" s="1"/>
  <c r="BD65" i="46"/>
  <c r="BD91" i="46" s="1"/>
  <c r="BD73" i="46"/>
  <c r="BD99" i="46" s="1"/>
  <c r="BD70" i="46"/>
  <c r="BD96" i="46" s="1"/>
  <c r="BD63" i="46"/>
  <c r="BD89" i="46" s="1"/>
  <c r="BD67" i="46"/>
  <c r="BD93" i="46" s="1"/>
  <c r="BD64" i="46"/>
  <c r="BD90" i="46" s="1"/>
  <c r="BD68" i="46"/>
  <c r="BD94" i="46" s="1"/>
  <c r="BD62" i="46"/>
  <c r="BD88" i="46" s="1"/>
  <c r="BD69" i="46"/>
  <c r="BD95" i="46" s="1"/>
  <c r="BD74" i="46"/>
  <c r="BD100" i="46" s="1"/>
  <c r="BG30" i="46"/>
  <c r="BG29" i="46"/>
  <c r="BG26" i="46"/>
  <c r="BG31" i="46"/>
  <c r="BG27" i="46"/>
  <c r="BG25" i="46"/>
  <c r="BG28" i="46"/>
  <c r="BG15" i="46"/>
  <c r="BG18" i="46"/>
  <c r="BG13" i="46"/>
  <c r="BG14" i="46"/>
  <c r="BG19" i="46"/>
  <c r="BG16" i="46"/>
  <c r="BG17" i="46"/>
  <c r="BG23" i="46"/>
  <c r="BG22" i="46"/>
  <c r="BG21" i="46"/>
  <c r="BG11" i="46"/>
  <c r="BG12" i="46"/>
  <c r="BG10" i="46"/>
  <c r="BC86" i="46"/>
  <c r="BC9" i="13" s="1"/>
  <c r="BC60" i="46"/>
  <c r="BC8" i="13" s="1"/>
  <c r="BF9" i="46"/>
  <c r="BD101" i="46"/>
  <c r="BC101" i="46"/>
  <c r="BC97" i="46"/>
  <c r="BC32" i="13" s="1"/>
  <c r="BD75" i="46"/>
  <c r="BC75" i="46"/>
  <c r="BC39" i="13" s="1"/>
  <c r="BE49" i="46"/>
  <c r="BF24" i="46"/>
  <c r="BD13" i="49"/>
  <c r="BD18" i="48" s="1"/>
  <c r="BD26" i="49"/>
  <c r="BG13" i="20"/>
  <c r="BC14" i="20"/>
  <c r="BD14" i="20"/>
  <c r="AX64" i="13"/>
  <c r="AY13" i="29" s="1"/>
  <c r="AX53" i="13"/>
  <c r="AY51" i="13"/>
  <c r="AX13" i="25" s="1"/>
  <c r="AX14" i="25" s="1"/>
  <c r="AY64" i="13"/>
  <c r="AZ13" i="29" s="1"/>
  <c r="BA28" i="13"/>
  <c r="AZ10" i="25" s="1"/>
  <c r="AZ11" i="25" s="1"/>
  <c r="BD98" i="46"/>
  <c r="BB27" i="13"/>
  <c r="BC9" i="25"/>
  <c r="BF20" i="46"/>
  <c r="BC10" i="48"/>
  <c r="BA16" i="48"/>
  <c r="U14" i="19"/>
  <c r="W17" i="29"/>
  <c r="U17" i="48"/>
  <c r="AZ62" i="13"/>
  <c r="BB22" i="25"/>
  <c r="BC26" i="13"/>
  <c r="BC63" i="13" s="1"/>
  <c r="BA12" i="19"/>
  <c r="BB19" i="29"/>
  <c r="BE52" i="46"/>
  <c r="BE54" i="46"/>
  <c r="BE51" i="46"/>
  <c r="BE53" i="46"/>
  <c r="BE56" i="46"/>
  <c r="BE55" i="46"/>
  <c r="BE57" i="46"/>
  <c r="BE41" i="46"/>
  <c r="BE40" i="46"/>
  <c r="BE43" i="46"/>
  <c r="BE42" i="46"/>
  <c r="BE44" i="46"/>
  <c r="BE45" i="46"/>
  <c r="BD22" i="33"/>
  <c r="BD25" i="33"/>
  <c r="BD28" i="33" s="1"/>
  <c r="BD12" i="48" s="1"/>
  <c r="BD10" i="48" s="1"/>
  <c r="BE19" i="33"/>
  <c r="BE16" i="33"/>
  <c r="BE13" i="48" s="1"/>
  <c r="BG3" i="33"/>
  <c r="BG13" i="33" s="1"/>
  <c r="BF2" i="33"/>
  <c r="BF1" i="33"/>
  <c r="BF15" i="33"/>
  <c r="BF21" i="33" s="1"/>
  <c r="BF27" i="33" s="1"/>
  <c r="BF14" i="33"/>
  <c r="BF20" i="33" s="1"/>
  <c r="BF26" i="33" s="1"/>
  <c r="BE4" i="33"/>
  <c r="BC9" i="29"/>
  <c r="BD9" i="29"/>
  <c r="BD19" i="29" s="1"/>
  <c r="BE37" i="46"/>
  <c r="BE39" i="46"/>
  <c r="BE36" i="46"/>
  <c r="BE38" i="46"/>
  <c r="BB83" i="46"/>
  <c r="BE32" i="46"/>
  <c r="BG3" i="11"/>
  <c r="BF2" i="11"/>
  <c r="BE4" i="11"/>
  <c r="BF1" i="11"/>
  <c r="BB109" i="46"/>
  <c r="BM1" i="20"/>
  <c r="BN3" i="20"/>
  <c r="BL4" i="20"/>
  <c r="BL21" i="20" s="1"/>
  <c r="BM2" i="20"/>
  <c r="BF2" i="19"/>
  <c r="BG3" i="19"/>
  <c r="BE4" i="19"/>
  <c r="BF1" i="19"/>
  <c r="BA40" i="13"/>
  <c r="BA50" i="13" s="1"/>
  <c r="BA109" i="46"/>
  <c r="BH3" i="46"/>
  <c r="BF4" i="46"/>
  <c r="BG1" i="46"/>
  <c r="BG2" i="46"/>
  <c r="BF112" i="46"/>
  <c r="BF113" i="46"/>
  <c r="BE2" i="25"/>
  <c r="BF3" i="25"/>
  <c r="BE1" i="25"/>
  <c r="BD4" i="25"/>
  <c r="BG2" i="13"/>
  <c r="BH3" i="13"/>
  <c r="BF4" i="13"/>
  <c r="BG1" i="13"/>
  <c r="BE47" i="46"/>
  <c r="BE72" i="46" s="1"/>
  <c r="BE48" i="46"/>
  <c r="BG2" i="10"/>
  <c r="BF4" i="10"/>
  <c r="BH3" i="10"/>
  <c r="BG1" i="10"/>
  <c r="BE4" i="24"/>
  <c r="BF1" i="24"/>
  <c r="BF2" i="24"/>
  <c r="BG3" i="24"/>
  <c r="BI3" i="29"/>
  <c r="BH2" i="29"/>
  <c r="BG4" i="29"/>
  <c r="BH1" i="29"/>
  <c r="BH22" i="13" l="1"/>
  <c r="BH20" i="13"/>
  <c r="BH25" i="13"/>
  <c r="BH24" i="13"/>
  <c r="BH23" i="13"/>
  <c r="BH21" i="13"/>
  <c r="BE58" i="13"/>
  <c r="BE19" i="49" s="1"/>
  <c r="BD21" i="49"/>
  <c r="BD10" i="49" s="1"/>
  <c r="AX17" i="25"/>
  <c r="AX23" i="25" s="1"/>
  <c r="BL22" i="20"/>
  <c r="BF15" i="13"/>
  <c r="BF14" i="11"/>
  <c r="BF19" i="13"/>
  <c r="BF18" i="11"/>
  <c r="BF14" i="13"/>
  <c r="BF13" i="11"/>
  <c r="BF18" i="13"/>
  <c r="BF17" i="11"/>
  <c r="BF13" i="13"/>
  <c r="BF12" i="11"/>
  <c r="BF10" i="13"/>
  <c r="BF9" i="11"/>
  <c r="BF16" i="13"/>
  <c r="BF15" i="11"/>
  <c r="BF11" i="13"/>
  <c r="BF10" i="11"/>
  <c r="BH16" i="10"/>
  <c r="BH17" i="10"/>
  <c r="BH11" i="10"/>
  <c r="BH14" i="10"/>
  <c r="BH8" i="10"/>
  <c r="BH12" i="10"/>
  <c r="BH10" i="10"/>
  <c r="BH9" i="10"/>
  <c r="BH13" i="10"/>
  <c r="BH15" i="10"/>
  <c r="BF17" i="13"/>
  <c r="BF16" i="11"/>
  <c r="BF12" i="13"/>
  <c r="BF11" i="11"/>
  <c r="BH45" i="13"/>
  <c r="BH43" i="13"/>
  <c r="BH48" i="13"/>
  <c r="BH42" i="13"/>
  <c r="BH47" i="13"/>
  <c r="BH44" i="13"/>
  <c r="BH41" i="13"/>
  <c r="BH46" i="13"/>
  <c r="BH49" i="13"/>
  <c r="BE19" i="11"/>
  <c r="BG8" i="29" s="1"/>
  <c r="BE59" i="13"/>
  <c r="BE20" i="49" s="1"/>
  <c r="BC35" i="13"/>
  <c r="BC36" i="13" s="1"/>
  <c r="BB12" i="25" s="1"/>
  <c r="BD71" i="46"/>
  <c r="BD31" i="13" s="1"/>
  <c r="BC56" i="13"/>
  <c r="BG61" i="13"/>
  <c r="BG60" i="13"/>
  <c r="BA57" i="13"/>
  <c r="BA29" i="49" s="1"/>
  <c r="BA30" i="49" s="1"/>
  <c r="BH33" i="13"/>
  <c r="BH34" i="13"/>
  <c r="BE62" i="46"/>
  <c r="BE88" i="46" s="1"/>
  <c r="BE65" i="46"/>
  <c r="BE91" i="46" s="1"/>
  <c r="BE63" i="46"/>
  <c r="BE89" i="46" s="1"/>
  <c r="BE69" i="46"/>
  <c r="BE95" i="46" s="1"/>
  <c r="BE73" i="46"/>
  <c r="BE99" i="46" s="1"/>
  <c r="BE64" i="46"/>
  <c r="BE90" i="46" s="1"/>
  <c r="BE68" i="46"/>
  <c r="BE94" i="46" s="1"/>
  <c r="BE66" i="46"/>
  <c r="BE92" i="46" s="1"/>
  <c r="BE70" i="46"/>
  <c r="BE96" i="46" s="1"/>
  <c r="BE74" i="46"/>
  <c r="BE100" i="46" s="1"/>
  <c r="BE61" i="46"/>
  <c r="BE87" i="46" s="1"/>
  <c r="BE67" i="46"/>
  <c r="BE93" i="46" s="1"/>
  <c r="BH30" i="46"/>
  <c r="BH27" i="46"/>
  <c r="BH25" i="46"/>
  <c r="BH29" i="46"/>
  <c r="BH31" i="46"/>
  <c r="BH28" i="46"/>
  <c r="BH26" i="46"/>
  <c r="BH19" i="46"/>
  <c r="BH14" i="46"/>
  <c r="BH17" i="46"/>
  <c r="BH18" i="46"/>
  <c r="BH16" i="46"/>
  <c r="BH15" i="46"/>
  <c r="BH11" i="46"/>
  <c r="BH10" i="46"/>
  <c r="BH22" i="46"/>
  <c r="BH23" i="46"/>
  <c r="BH12" i="46"/>
  <c r="BH13" i="46"/>
  <c r="BH21" i="46"/>
  <c r="BD60" i="46"/>
  <c r="BD8" i="13" s="1"/>
  <c r="BD86" i="46"/>
  <c r="BD9" i="13" s="1"/>
  <c r="BG9" i="46"/>
  <c r="BD97" i="46"/>
  <c r="BD32" i="13" s="1"/>
  <c r="BE79" i="46"/>
  <c r="BE105" i="46" s="1"/>
  <c r="BE76" i="46"/>
  <c r="BE102" i="46" s="1"/>
  <c r="BE82" i="46"/>
  <c r="BE108" i="46" s="1"/>
  <c r="BE77" i="46"/>
  <c r="BE103" i="46" s="1"/>
  <c r="BE80" i="46"/>
  <c r="BE106" i="46" s="1"/>
  <c r="BE78" i="46"/>
  <c r="BE104" i="46" s="1"/>
  <c r="BE81" i="46"/>
  <c r="BE107" i="46" s="1"/>
  <c r="BF49" i="46"/>
  <c r="BG24" i="46"/>
  <c r="BH13" i="20"/>
  <c r="AB15" i="20"/>
  <c r="AY14" i="29"/>
  <c r="AY18" i="29" s="1"/>
  <c r="AY53" i="13"/>
  <c r="AZ14" i="29" s="1"/>
  <c r="AZ18" i="29" s="1"/>
  <c r="AZ51" i="13"/>
  <c r="AZ53" i="13" s="1"/>
  <c r="AZ64" i="13"/>
  <c r="BA13" i="29" s="1"/>
  <c r="BB28" i="13"/>
  <c r="BA10" i="25" s="1"/>
  <c r="BA11" i="25" s="1"/>
  <c r="BE98" i="46"/>
  <c r="BG20" i="46"/>
  <c r="BC27" i="13"/>
  <c r="BE13" i="49"/>
  <c r="BD11" i="49"/>
  <c r="W21" i="29"/>
  <c r="W20" i="29"/>
  <c r="BA62" i="13"/>
  <c r="BC22" i="25"/>
  <c r="BD26" i="13"/>
  <c r="BD63" i="13" s="1"/>
  <c r="BD9" i="25"/>
  <c r="BB12" i="19"/>
  <c r="BC19" i="29"/>
  <c r="AX15" i="25"/>
  <c r="BB40" i="13"/>
  <c r="BB50" i="13" s="1"/>
  <c r="BF51" i="46"/>
  <c r="BF53" i="46"/>
  <c r="BF52" i="46"/>
  <c r="BF54" i="46"/>
  <c r="BF55" i="46"/>
  <c r="BF57" i="46"/>
  <c r="BF56" i="46"/>
  <c r="BF40" i="46"/>
  <c r="BF41" i="46"/>
  <c r="BF42" i="46"/>
  <c r="BF44" i="46"/>
  <c r="BF43" i="46"/>
  <c r="BF45" i="46"/>
  <c r="BG14" i="33"/>
  <c r="BG20" i="33" s="1"/>
  <c r="BG26" i="33" s="1"/>
  <c r="BG2" i="33"/>
  <c r="BF4" i="33"/>
  <c r="BH3" i="33"/>
  <c r="BH13" i="33" s="1"/>
  <c r="BG15" i="33"/>
  <c r="BG21" i="33" s="1"/>
  <c r="BG27" i="33" s="1"/>
  <c r="BG1" i="33"/>
  <c r="BF16" i="33"/>
  <c r="BF13" i="48" s="1"/>
  <c r="BF19" i="33"/>
  <c r="BE22" i="33"/>
  <c r="BE25" i="33"/>
  <c r="BE28" i="33" s="1"/>
  <c r="BE12" i="48" s="1"/>
  <c r="BE10" i="48" s="1"/>
  <c r="BE9" i="29"/>
  <c r="BE19" i="29" s="1"/>
  <c r="BC83" i="46"/>
  <c r="BF36" i="46"/>
  <c r="BF38" i="46"/>
  <c r="BF37" i="46"/>
  <c r="BF39" i="46"/>
  <c r="BF32" i="46"/>
  <c r="BH3" i="11"/>
  <c r="BG2" i="11"/>
  <c r="BF4" i="11"/>
  <c r="BG1" i="11"/>
  <c r="BN2" i="20"/>
  <c r="BO3" i="20"/>
  <c r="BM4" i="20"/>
  <c r="BM21" i="20" s="1"/>
  <c r="BN1" i="20"/>
  <c r="BG2" i="19"/>
  <c r="BH3" i="19"/>
  <c r="BF4" i="19"/>
  <c r="BG1" i="19"/>
  <c r="BD39" i="13"/>
  <c r="BH2" i="13"/>
  <c r="BI3" i="13"/>
  <c r="BH1" i="13"/>
  <c r="BG4" i="13"/>
  <c r="BF2" i="25"/>
  <c r="BG3" i="25"/>
  <c r="BE4" i="25"/>
  <c r="BF1" i="25"/>
  <c r="BF47" i="46"/>
  <c r="BF72" i="46" s="1"/>
  <c r="BF48" i="46"/>
  <c r="BI3" i="46"/>
  <c r="BG4" i="46"/>
  <c r="BH1" i="46"/>
  <c r="BH2" i="46"/>
  <c r="BG112" i="46"/>
  <c r="BG113" i="46"/>
  <c r="BI2" i="29"/>
  <c r="BJ3" i="29"/>
  <c r="BI1" i="29"/>
  <c r="BH4" i="29"/>
  <c r="BH2" i="10"/>
  <c r="BG4" i="10"/>
  <c r="BI3" i="10"/>
  <c r="BH1" i="10"/>
  <c r="BC12" i="19"/>
  <c r="BF4" i="24"/>
  <c r="BG1" i="24"/>
  <c r="BG2" i="24"/>
  <c r="BH3" i="24"/>
  <c r="BI20" i="13" l="1"/>
  <c r="BI22" i="13"/>
  <c r="BI24" i="13"/>
  <c r="BI25" i="13"/>
  <c r="BI23" i="13"/>
  <c r="BI21" i="13"/>
  <c r="BF58" i="13"/>
  <c r="BF19" i="49" s="1"/>
  <c r="BM22" i="20"/>
  <c r="BE21" i="49"/>
  <c r="BE10" i="49" s="1"/>
  <c r="BG19" i="13"/>
  <c r="BG18" i="11"/>
  <c r="BG18" i="13"/>
  <c r="BG17" i="11"/>
  <c r="BG16" i="13"/>
  <c r="BG15" i="11"/>
  <c r="BG17" i="13"/>
  <c r="BG16" i="11"/>
  <c r="BG15" i="13"/>
  <c r="BG14" i="11"/>
  <c r="BG11" i="13"/>
  <c r="BG10" i="11"/>
  <c r="BG12" i="13"/>
  <c r="BG11" i="11"/>
  <c r="BG14" i="13"/>
  <c r="BG13" i="11"/>
  <c r="BG13" i="13"/>
  <c r="BG12" i="11"/>
  <c r="BI13" i="10"/>
  <c r="BI16" i="10"/>
  <c r="BI9" i="10"/>
  <c r="BI17" i="10"/>
  <c r="BI11" i="10"/>
  <c r="BI14" i="10"/>
  <c r="BI8" i="10"/>
  <c r="BI10" i="10"/>
  <c r="BI15" i="10"/>
  <c r="BI12" i="10"/>
  <c r="BG10" i="13"/>
  <c r="BG9" i="11"/>
  <c r="BI42" i="13"/>
  <c r="BI45" i="13"/>
  <c r="BI48" i="13"/>
  <c r="BI47" i="13"/>
  <c r="BI44" i="13"/>
  <c r="BI41" i="13"/>
  <c r="BI46" i="13"/>
  <c r="BI43" i="13"/>
  <c r="BI49" i="13"/>
  <c r="BF19" i="11"/>
  <c r="BH8" i="29" s="1"/>
  <c r="BF59" i="13"/>
  <c r="BF20" i="49" s="1"/>
  <c r="BD35" i="13"/>
  <c r="BD36" i="13" s="1"/>
  <c r="BC12" i="25" s="1"/>
  <c r="BE71" i="46"/>
  <c r="BE31" i="13" s="1"/>
  <c r="BH60" i="13"/>
  <c r="BD56" i="13"/>
  <c r="BB57" i="13"/>
  <c r="BB29" i="49" s="1"/>
  <c r="BB30" i="49" s="1"/>
  <c r="BH61" i="13"/>
  <c r="BI34" i="13"/>
  <c r="BI33" i="13"/>
  <c r="BF70" i="46"/>
  <c r="BF96" i="46" s="1"/>
  <c r="BF63" i="46"/>
  <c r="BF89" i="46" s="1"/>
  <c r="BF67" i="46"/>
  <c r="BF93" i="46" s="1"/>
  <c r="BF61" i="46"/>
  <c r="BF87" i="46" s="1"/>
  <c r="BF66" i="46"/>
  <c r="BF92" i="46" s="1"/>
  <c r="BF73" i="46"/>
  <c r="BF99" i="46" s="1"/>
  <c r="BF74" i="46"/>
  <c r="BF100" i="46" s="1"/>
  <c r="BF64" i="46"/>
  <c r="BF90" i="46" s="1"/>
  <c r="BF68" i="46"/>
  <c r="BF94" i="46" s="1"/>
  <c r="BF65" i="46"/>
  <c r="BF91" i="46" s="1"/>
  <c r="BF62" i="46"/>
  <c r="BF88" i="46" s="1"/>
  <c r="BF69" i="46"/>
  <c r="BF95" i="46" s="1"/>
  <c r="BI28" i="46"/>
  <c r="BI27" i="46"/>
  <c r="BI25" i="46"/>
  <c r="BI30" i="46"/>
  <c r="BI31" i="46"/>
  <c r="BI29" i="46"/>
  <c r="BI26" i="46"/>
  <c r="BI14" i="46"/>
  <c r="BI15" i="46"/>
  <c r="BI16" i="46"/>
  <c r="BI18" i="46"/>
  <c r="BI19" i="46"/>
  <c r="BI17" i="46"/>
  <c r="BI13" i="46"/>
  <c r="BI21" i="46"/>
  <c r="BI22" i="46"/>
  <c r="BI12" i="46"/>
  <c r="BI11" i="46"/>
  <c r="BI10" i="46"/>
  <c r="BI23" i="46"/>
  <c r="BE86" i="46"/>
  <c r="BE9" i="13" s="1"/>
  <c r="BE60" i="46"/>
  <c r="BE8" i="13" s="1"/>
  <c r="BH9" i="46"/>
  <c r="BE101" i="46"/>
  <c r="BE97" i="46"/>
  <c r="BE32" i="13" s="1"/>
  <c r="BF81" i="46"/>
  <c r="BF107" i="46" s="1"/>
  <c r="BF76" i="46"/>
  <c r="BF102" i="46" s="1"/>
  <c r="BF78" i="46"/>
  <c r="BF104" i="46" s="1"/>
  <c r="BF79" i="46"/>
  <c r="BF105" i="46" s="1"/>
  <c r="BF82" i="46"/>
  <c r="BF108" i="46" s="1"/>
  <c r="BF80" i="46"/>
  <c r="BF106" i="46" s="1"/>
  <c r="BE75" i="46"/>
  <c r="BE39" i="13" s="1"/>
  <c r="BF77" i="46"/>
  <c r="BF103" i="46" s="1"/>
  <c r="BG49" i="46"/>
  <c r="BH24" i="46"/>
  <c r="BJ13" i="20"/>
  <c r="BI13" i="20"/>
  <c r="AY13" i="19"/>
  <c r="AY13" i="25"/>
  <c r="AY14" i="25" s="1"/>
  <c r="AY17" i="25" s="1"/>
  <c r="AY23" i="25" s="1"/>
  <c r="AX13" i="19"/>
  <c r="BA51" i="13"/>
  <c r="AZ13" i="25" s="1"/>
  <c r="AZ14" i="25" s="1"/>
  <c r="BA64" i="13"/>
  <c r="BB13" i="29" s="1"/>
  <c r="BC28" i="13"/>
  <c r="BB10" i="25" s="1"/>
  <c r="BB11" i="25" s="1"/>
  <c r="BF98" i="46"/>
  <c r="BD27" i="13"/>
  <c r="BH20" i="46"/>
  <c r="BF13" i="49"/>
  <c r="BF18" i="48" s="1"/>
  <c r="BF26" i="49"/>
  <c r="BF11" i="49" s="1"/>
  <c r="BE18" i="48"/>
  <c r="BE9" i="25"/>
  <c r="BD9" i="49"/>
  <c r="BE26" i="49"/>
  <c r="BA14" i="29"/>
  <c r="X17" i="29"/>
  <c r="V17" i="48"/>
  <c r="V14" i="19"/>
  <c r="BD22" i="25"/>
  <c r="BE26" i="13"/>
  <c r="BE63" i="13" s="1"/>
  <c r="BB62" i="13"/>
  <c r="BJ3" i="10"/>
  <c r="BI1" i="10"/>
  <c r="BG52" i="46"/>
  <c r="BG54" i="46"/>
  <c r="BG51" i="46"/>
  <c r="BG53" i="46"/>
  <c r="BG56" i="46"/>
  <c r="BG55" i="46"/>
  <c r="BG57" i="46"/>
  <c r="BG41" i="46"/>
  <c r="BG40" i="46"/>
  <c r="BG43" i="46"/>
  <c r="BG42" i="46"/>
  <c r="BG44" i="46"/>
  <c r="BG45" i="46"/>
  <c r="BG19" i="33"/>
  <c r="BG16" i="33"/>
  <c r="BG13" i="48" s="1"/>
  <c r="BF25" i="33"/>
  <c r="BF28" i="33" s="1"/>
  <c r="BF12" i="48" s="1"/>
  <c r="BF10" i="48" s="1"/>
  <c r="BF22" i="33"/>
  <c r="BH15" i="33"/>
  <c r="BH21" i="33" s="1"/>
  <c r="BH27" i="33" s="1"/>
  <c r="BH14" i="33"/>
  <c r="BH20" i="33" s="1"/>
  <c r="BH26" i="33" s="1"/>
  <c r="BH1" i="33"/>
  <c r="BI3" i="33"/>
  <c r="BI13" i="33" s="1"/>
  <c r="BH2" i="33"/>
  <c r="BG4" i="33"/>
  <c r="BG37" i="46"/>
  <c r="BG39" i="46"/>
  <c r="BG36" i="46"/>
  <c r="BG38" i="46"/>
  <c r="BG32" i="46"/>
  <c r="BD83" i="46"/>
  <c r="BI3" i="11"/>
  <c r="BJ3" i="11" s="1"/>
  <c r="BI4" i="11" s="1"/>
  <c r="BH2" i="11"/>
  <c r="BH1" i="11"/>
  <c r="BG4" i="11"/>
  <c r="BN4" i="20"/>
  <c r="BN21" i="20" s="1"/>
  <c r="BO2" i="20"/>
  <c r="BO1" i="20"/>
  <c r="BP3" i="20"/>
  <c r="BD40" i="13"/>
  <c r="BH2" i="19"/>
  <c r="BI3" i="19"/>
  <c r="BG4" i="19"/>
  <c r="BH1" i="19"/>
  <c r="BG47" i="46"/>
  <c r="BG72" i="46" s="1"/>
  <c r="BG48" i="46"/>
  <c r="BI2" i="46"/>
  <c r="BJ3" i="46"/>
  <c r="BK3" i="46" s="1"/>
  <c r="BJ4" i="46" s="1"/>
  <c r="BI1" i="46"/>
  <c r="BH4" i="46"/>
  <c r="BG2" i="25"/>
  <c r="BH3" i="25"/>
  <c r="BF4" i="25"/>
  <c r="BG1" i="25"/>
  <c r="BI2" i="13"/>
  <c r="BJ3" i="13"/>
  <c r="BH4" i="13"/>
  <c r="BI1" i="13"/>
  <c r="BC40" i="13"/>
  <c r="BC50" i="13" s="1"/>
  <c r="BC109" i="46"/>
  <c r="BH113" i="46"/>
  <c r="BH112" i="46"/>
  <c r="BI3" i="24"/>
  <c r="BJ3" i="24" s="1"/>
  <c r="BI4" i="24" s="1"/>
  <c r="BH2" i="24"/>
  <c r="BG4" i="24"/>
  <c r="BH1" i="24"/>
  <c r="BD12" i="19"/>
  <c r="BK3" i="29"/>
  <c r="BJ2" i="29"/>
  <c r="BJ1" i="29"/>
  <c r="BI4" i="29"/>
  <c r="BI2" i="10"/>
  <c r="BH4" i="10"/>
  <c r="BG58" i="13" l="1"/>
  <c r="BG19" i="49" s="1"/>
  <c r="BJ20" i="13"/>
  <c r="BJ22" i="13"/>
  <c r="BJ24" i="13"/>
  <c r="BJ23" i="13"/>
  <c r="BJ21" i="13"/>
  <c r="BJ25" i="13"/>
  <c r="BN22" i="20"/>
  <c r="BF21" i="49"/>
  <c r="BF10" i="49" s="1"/>
  <c r="BF9" i="49" s="1"/>
  <c r="BF16" i="48" s="1"/>
  <c r="AZ17" i="25"/>
  <c r="AZ23" i="25" s="1"/>
  <c r="BH14" i="13"/>
  <c r="BH13" i="11"/>
  <c r="BH16" i="13"/>
  <c r="BH15" i="11"/>
  <c r="BH10" i="13"/>
  <c r="BH58" i="13" s="1"/>
  <c r="BH19" i="49" s="1"/>
  <c r="BH9" i="11"/>
  <c r="BH13" i="13"/>
  <c r="BH12" i="11"/>
  <c r="BH17" i="13"/>
  <c r="BH16" i="11"/>
  <c r="BH19" i="13"/>
  <c r="BH18" i="11"/>
  <c r="BH11" i="13"/>
  <c r="BH10" i="11"/>
  <c r="BH18" i="13"/>
  <c r="BH17" i="11"/>
  <c r="BH15" i="13"/>
  <c r="BH14" i="11"/>
  <c r="BJ10" i="10"/>
  <c r="BJ13" i="10"/>
  <c r="BJ16" i="10"/>
  <c r="BJ9" i="10"/>
  <c r="BJ17" i="10"/>
  <c r="BJ14" i="10"/>
  <c r="BJ11" i="10"/>
  <c r="BJ15" i="10"/>
  <c r="BJ12" i="10"/>
  <c r="BJ8" i="10"/>
  <c r="BH12" i="13"/>
  <c r="BH11" i="11"/>
  <c r="BJ47" i="13"/>
  <c r="BJ42" i="13"/>
  <c r="BJ45" i="13"/>
  <c r="BJ48" i="13"/>
  <c r="BJ44" i="13"/>
  <c r="BJ43" i="13"/>
  <c r="BJ41" i="13"/>
  <c r="BJ46" i="13"/>
  <c r="BJ49" i="13"/>
  <c r="BK3" i="10"/>
  <c r="BJ4" i="10" s="1"/>
  <c r="BG19" i="11"/>
  <c r="BI8" i="29" s="1"/>
  <c r="BG59" i="13"/>
  <c r="BG20" i="49" s="1"/>
  <c r="BG21" i="49" s="1"/>
  <c r="BG10" i="49" s="1"/>
  <c r="BD50" i="13"/>
  <c r="BD51" i="13" s="1"/>
  <c r="BC13" i="25" s="1"/>
  <c r="BE35" i="13"/>
  <c r="BE36" i="13" s="1"/>
  <c r="BD12" i="25" s="1"/>
  <c r="AY15" i="25"/>
  <c r="BL3" i="29"/>
  <c r="BK4" i="29" s="1"/>
  <c r="BK3" i="13"/>
  <c r="BJ4" i="13" s="1"/>
  <c r="BI61" i="13"/>
  <c r="BD62" i="13"/>
  <c r="BI60" i="13"/>
  <c r="BD57" i="13"/>
  <c r="BD29" i="49" s="1"/>
  <c r="BC57" i="13"/>
  <c r="BC29" i="49" s="1"/>
  <c r="BC30" i="49" s="1"/>
  <c r="BJ33" i="13"/>
  <c r="BJ34" i="13"/>
  <c r="BE56" i="13"/>
  <c r="BF71" i="46"/>
  <c r="BF31" i="13" s="1"/>
  <c r="BG69" i="46"/>
  <c r="BG95" i="46" s="1"/>
  <c r="BG73" i="46"/>
  <c r="BG99" i="46" s="1"/>
  <c r="BG67" i="46"/>
  <c r="BG93" i="46" s="1"/>
  <c r="BG61" i="46"/>
  <c r="BG87" i="46" s="1"/>
  <c r="BG65" i="46"/>
  <c r="BG91" i="46" s="1"/>
  <c r="BG63" i="46"/>
  <c r="BG89" i="46" s="1"/>
  <c r="BG68" i="46"/>
  <c r="BG94" i="46" s="1"/>
  <c r="BG74" i="46"/>
  <c r="BG100" i="46" s="1"/>
  <c r="BG64" i="46"/>
  <c r="BG90" i="46" s="1"/>
  <c r="BG70" i="46"/>
  <c r="BG96" i="46" s="1"/>
  <c r="BG66" i="46"/>
  <c r="BG92" i="46" s="1"/>
  <c r="BG62" i="46"/>
  <c r="BG88" i="46" s="1"/>
  <c r="BJ25" i="46"/>
  <c r="BJ29" i="46"/>
  <c r="BJ30" i="46"/>
  <c r="BJ28" i="46"/>
  <c r="BJ26" i="46"/>
  <c r="BJ31" i="46"/>
  <c r="BJ27" i="46"/>
  <c r="BJ16" i="46"/>
  <c r="BJ15" i="46"/>
  <c r="BJ17" i="46"/>
  <c r="BJ18" i="46"/>
  <c r="BJ19" i="46"/>
  <c r="BJ23" i="46"/>
  <c r="BJ14" i="46"/>
  <c r="BJ10" i="46"/>
  <c r="BJ13" i="46"/>
  <c r="BJ21" i="46"/>
  <c r="BJ22" i="46"/>
  <c r="BJ12" i="46"/>
  <c r="BJ11" i="46"/>
  <c r="BF60" i="46"/>
  <c r="BF8" i="13" s="1"/>
  <c r="BF86" i="46"/>
  <c r="BI9" i="46"/>
  <c r="BF101" i="46"/>
  <c r="BF97" i="46"/>
  <c r="BF32" i="13" s="1"/>
  <c r="BG81" i="46"/>
  <c r="BG107" i="46" s="1"/>
  <c r="BG78" i="46"/>
  <c r="BG104" i="46" s="1"/>
  <c r="BG76" i="46"/>
  <c r="BG102" i="46" s="1"/>
  <c r="BG79" i="46"/>
  <c r="BG105" i="46" s="1"/>
  <c r="BG82" i="46"/>
  <c r="BG108" i="46" s="1"/>
  <c r="BG77" i="46"/>
  <c r="BG103" i="46" s="1"/>
  <c r="BF75" i="46"/>
  <c r="BF39" i="13" s="1"/>
  <c r="BG80" i="46"/>
  <c r="BG106" i="46" s="1"/>
  <c r="BH49" i="46"/>
  <c r="BI24" i="46"/>
  <c r="AC15" i="20"/>
  <c r="BK13" i="20"/>
  <c r="BF14" i="20"/>
  <c r="BE14" i="20"/>
  <c r="BA53" i="13"/>
  <c r="BB51" i="13"/>
  <c r="BA13" i="25" s="1"/>
  <c r="BA14" i="25" s="1"/>
  <c r="BB64" i="13"/>
  <c r="BC13" i="29" s="1"/>
  <c r="BD28" i="13"/>
  <c r="BC10" i="25" s="1"/>
  <c r="BC11" i="25" s="1"/>
  <c r="BG98" i="46"/>
  <c r="BE27" i="13"/>
  <c r="BI20" i="46"/>
  <c r="BG13" i="49"/>
  <c r="BE11" i="49"/>
  <c r="BD16" i="48"/>
  <c r="BB14" i="29"/>
  <c r="X21" i="29"/>
  <c r="X20" i="29"/>
  <c r="BA18" i="29"/>
  <c r="AZ13" i="19"/>
  <c r="BC62" i="13"/>
  <c r="BE22" i="25"/>
  <c r="BF26" i="13"/>
  <c r="BF63" i="13" s="1"/>
  <c r="BF9" i="25"/>
  <c r="AZ15" i="25"/>
  <c r="BI4" i="10"/>
  <c r="BJ2" i="10"/>
  <c r="BJ1" i="10"/>
  <c r="BH51" i="46"/>
  <c r="BH53" i="46"/>
  <c r="BH52" i="46"/>
  <c r="BH77" i="46" s="1"/>
  <c r="BH103" i="46" s="1"/>
  <c r="BH54" i="46"/>
  <c r="BH55" i="46"/>
  <c r="BH57" i="46"/>
  <c r="BH82" i="46" s="1"/>
  <c r="BH108" i="46" s="1"/>
  <c r="BH56" i="46"/>
  <c r="BH40" i="46"/>
  <c r="BH41" i="46"/>
  <c r="BH42" i="46"/>
  <c r="BH44" i="46"/>
  <c r="BH43" i="46"/>
  <c r="BH45" i="46"/>
  <c r="BD109" i="46"/>
  <c r="BH19" i="33"/>
  <c r="BH16" i="33"/>
  <c r="BH13" i="48" s="1"/>
  <c r="BJ3" i="33"/>
  <c r="BI15" i="33"/>
  <c r="BI21" i="33" s="1"/>
  <c r="BI27" i="33" s="1"/>
  <c r="BH4" i="33"/>
  <c r="BI14" i="33"/>
  <c r="BI20" i="33" s="1"/>
  <c r="BI26" i="33" s="1"/>
  <c r="BI2" i="33"/>
  <c r="BI1" i="33"/>
  <c r="BG25" i="33"/>
  <c r="BG28" i="33" s="1"/>
  <c r="BG12" i="48" s="1"/>
  <c r="BG22" i="33"/>
  <c r="BE83" i="46"/>
  <c r="BH36" i="46"/>
  <c r="BH38" i="46"/>
  <c r="BH37" i="46"/>
  <c r="BH39" i="46"/>
  <c r="BF9" i="29"/>
  <c r="BF19" i="29" s="1"/>
  <c r="BI2" i="11"/>
  <c r="BH4" i="11"/>
  <c r="BI1" i="11"/>
  <c r="BP2" i="20"/>
  <c r="BQ3" i="20"/>
  <c r="BR3" i="20" s="1"/>
  <c r="BQ4" i="20" s="1"/>
  <c r="BO4" i="20"/>
  <c r="BO21" i="20" s="1"/>
  <c r="BO22" i="20" s="1"/>
  <c r="BP1" i="20"/>
  <c r="BI2" i="19"/>
  <c r="BJ3" i="19"/>
  <c r="BK3" i="19" s="1"/>
  <c r="BJ4" i="19" s="1"/>
  <c r="BH4" i="19"/>
  <c r="BI1" i="19"/>
  <c r="BH47" i="46"/>
  <c r="BH72" i="46" s="1"/>
  <c r="BH48" i="46"/>
  <c r="BJ2" i="13"/>
  <c r="BI4" i="13"/>
  <c r="BJ1" i="13"/>
  <c r="BH2" i="25"/>
  <c r="BI3" i="25"/>
  <c r="BJ3" i="25" s="1"/>
  <c r="BI4" i="25" s="1"/>
  <c r="BH1" i="25"/>
  <c r="BG4" i="25"/>
  <c r="BH32" i="46"/>
  <c r="BI4" i="46"/>
  <c r="BJ1" i="46"/>
  <c r="BJ2" i="46"/>
  <c r="BI113" i="46"/>
  <c r="BI112" i="46"/>
  <c r="BK2" i="29"/>
  <c r="BJ4" i="29"/>
  <c r="BK1" i="29"/>
  <c r="BH4" i="24"/>
  <c r="BI2" i="24"/>
  <c r="BI1" i="24"/>
  <c r="BA17" i="25" l="1"/>
  <c r="BA23" i="25" s="1"/>
  <c r="BI14" i="13"/>
  <c r="BI13" i="11"/>
  <c r="BP13" i="11" s="1"/>
  <c r="BL12" i="10"/>
  <c r="BL15" i="10"/>
  <c r="BL17" i="10"/>
  <c r="BL16" i="10"/>
  <c r="BL11" i="10"/>
  <c r="BL10" i="10"/>
  <c r="BM11" i="10"/>
  <c r="BM17" i="10"/>
  <c r="BL14" i="10"/>
  <c r="BM12" i="10"/>
  <c r="BO17" i="10"/>
  <c r="BM14" i="10"/>
  <c r="BM16" i="10"/>
  <c r="BQ16" i="10"/>
  <c r="BN15" i="10"/>
  <c r="BN17" i="10"/>
  <c r="BN10" i="10"/>
  <c r="BN14" i="10"/>
  <c r="BO10" i="10"/>
  <c r="BO13" i="10"/>
  <c r="BO16" i="10"/>
  <c r="BP15" i="10"/>
  <c r="BP13" i="10"/>
  <c r="BO14" i="10"/>
  <c r="BP17" i="10"/>
  <c r="BP10" i="10"/>
  <c r="BO15" i="10"/>
  <c r="BO11" i="10"/>
  <c r="BQ17" i="10"/>
  <c r="BQ11" i="10"/>
  <c r="BL13" i="10"/>
  <c r="BP16" i="10"/>
  <c r="BQ10" i="10"/>
  <c r="BQ13" i="10"/>
  <c r="BQ12" i="10"/>
  <c r="BP14" i="10"/>
  <c r="BM13" i="10"/>
  <c r="BM10" i="10"/>
  <c r="BM15" i="10"/>
  <c r="BN12" i="10"/>
  <c r="BN16" i="10"/>
  <c r="BN11" i="10"/>
  <c r="BN13" i="10"/>
  <c r="BO12" i="10"/>
  <c r="BP12" i="10"/>
  <c r="BP11" i="10"/>
  <c r="BQ15" i="10"/>
  <c r="BI17" i="13"/>
  <c r="BI16" i="11"/>
  <c r="BP16" i="11" s="1"/>
  <c r="BI10" i="13"/>
  <c r="BI9" i="11"/>
  <c r="BP9" i="11" s="1"/>
  <c r="BI13" i="13"/>
  <c r="BI12" i="11"/>
  <c r="BP12" i="11" s="1"/>
  <c r="BI16" i="13"/>
  <c r="BQ16" i="13" s="1"/>
  <c r="BI15" i="11"/>
  <c r="BP15" i="11" s="1"/>
  <c r="BI19" i="13"/>
  <c r="BQ19" i="13" s="1"/>
  <c r="BI18" i="11"/>
  <c r="BP18" i="11" s="1"/>
  <c r="BI11" i="13"/>
  <c r="BQ11" i="13" s="1"/>
  <c r="BI10" i="11"/>
  <c r="BP10" i="11" s="1"/>
  <c r="BI18" i="13"/>
  <c r="BQ18" i="13" s="1"/>
  <c r="BI17" i="11"/>
  <c r="BP17" i="11" s="1"/>
  <c r="BI15" i="13"/>
  <c r="BQ15" i="13" s="1"/>
  <c r="BI14" i="11"/>
  <c r="BP14" i="11" s="1"/>
  <c r="BI12" i="13"/>
  <c r="BI11" i="11"/>
  <c r="BP11" i="11" s="1"/>
  <c r="BL12" i="11"/>
  <c r="BL11" i="11"/>
  <c r="BL16" i="11"/>
  <c r="BL14" i="11"/>
  <c r="BL10" i="11"/>
  <c r="BK10" i="11"/>
  <c r="BK12" i="11"/>
  <c r="BK17" i="11"/>
  <c r="BL18" i="11"/>
  <c r="BK11" i="11"/>
  <c r="BK15" i="11"/>
  <c r="BL15" i="11"/>
  <c r="BK14" i="11"/>
  <c r="BL13" i="11"/>
  <c r="BK18" i="11"/>
  <c r="BK13" i="11"/>
  <c r="BK16" i="11"/>
  <c r="BL17" i="11"/>
  <c r="BO17" i="11"/>
  <c r="BO15" i="11"/>
  <c r="BO11" i="11"/>
  <c r="BN18" i="11"/>
  <c r="BO10" i="11"/>
  <c r="BM15" i="11"/>
  <c r="BN13" i="11"/>
  <c r="BO18" i="11"/>
  <c r="BO13" i="11"/>
  <c r="BN11" i="11"/>
  <c r="BM13" i="11"/>
  <c r="BN10" i="11"/>
  <c r="BN17" i="11"/>
  <c r="BO14" i="11"/>
  <c r="BM11" i="11"/>
  <c r="BN14" i="11"/>
  <c r="BM14" i="11"/>
  <c r="BM16" i="11"/>
  <c r="BM17" i="11"/>
  <c r="BO12" i="11"/>
  <c r="BM10" i="11"/>
  <c r="BN16" i="11"/>
  <c r="BN15" i="11"/>
  <c r="BM18" i="11"/>
  <c r="BM12" i="11"/>
  <c r="BN12" i="11"/>
  <c r="BO16" i="11"/>
  <c r="BQ14" i="10"/>
  <c r="BL14" i="13"/>
  <c r="BL15" i="13"/>
  <c r="BM14" i="13"/>
  <c r="BN12" i="13"/>
  <c r="BL13" i="13"/>
  <c r="BL16" i="13"/>
  <c r="BM19" i="13"/>
  <c r="BM15" i="13"/>
  <c r="BM18" i="13"/>
  <c r="BN15" i="13"/>
  <c r="BL18" i="13"/>
  <c r="BM12" i="13"/>
  <c r="BM17" i="13"/>
  <c r="BL17" i="13"/>
  <c r="BL12" i="13"/>
  <c r="BL19" i="13"/>
  <c r="BM16" i="13"/>
  <c r="BN14" i="13"/>
  <c r="BN13" i="13"/>
  <c r="BO12" i="13"/>
  <c r="BN19" i="13"/>
  <c r="BN16" i="13"/>
  <c r="BO14" i="13"/>
  <c r="BN17" i="13"/>
  <c r="BP15" i="13"/>
  <c r="BM13" i="13"/>
  <c r="BP12" i="13"/>
  <c r="BO13" i="13"/>
  <c r="BP16" i="13"/>
  <c r="BO17" i="13"/>
  <c r="BO16" i="13"/>
  <c r="BP13" i="13"/>
  <c r="BN18" i="13"/>
  <c r="BP14" i="13"/>
  <c r="BO15" i="13"/>
  <c r="BQ12" i="13"/>
  <c r="BP19" i="13"/>
  <c r="BO18" i="13"/>
  <c r="BP17" i="13"/>
  <c r="BP18" i="13"/>
  <c r="BQ17" i="13"/>
  <c r="BQ13" i="13"/>
  <c r="BO19" i="13"/>
  <c r="BQ14" i="13"/>
  <c r="BC14" i="25"/>
  <c r="BH19" i="11"/>
  <c r="BJ8" i="29" s="1"/>
  <c r="BH59" i="13"/>
  <c r="BH20" i="49" s="1"/>
  <c r="BH21" i="49" s="1"/>
  <c r="BH10" i="49" s="1"/>
  <c r="BL58" i="13"/>
  <c r="BN58" i="13"/>
  <c r="BM58" i="13"/>
  <c r="BO58" i="13"/>
  <c r="BP58" i="13"/>
  <c r="BL49" i="13"/>
  <c r="BL48" i="13"/>
  <c r="BM49" i="13"/>
  <c r="BM48" i="13"/>
  <c r="BM47" i="13"/>
  <c r="BN47" i="13"/>
  <c r="BO47" i="13"/>
  <c r="BN49" i="13"/>
  <c r="BP48" i="13"/>
  <c r="BO48" i="13"/>
  <c r="BQ49" i="13"/>
  <c r="BN48" i="13"/>
  <c r="BO49" i="13"/>
  <c r="BP47" i="13"/>
  <c r="BQ47" i="13"/>
  <c r="BQ48" i="13"/>
  <c r="BP49" i="13"/>
  <c r="BL9" i="11"/>
  <c r="BO9" i="11"/>
  <c r="BN9" i="11"/>
  <c r="BM9" i="11"/>
  <c r="BL9" i="10"/>
  <c r="BL8" i="10"/>
  <c r="BM9" i="10"/>
  <c r="BM8" i="10"/>
  <c r="BN8" i="10"/>
  <c r="BO8" i="10"/>
  <c r="BO9" i="10"/>
  <c r="BN9" i="10"/>
  <c r="BP8" i="10"/>
  <c r="BQ8" i="10"/>
  <c r="BP9" i="10"/>
  <c r="BQ9" i="10"/>
  <c r="BL23" i="13"/>
  <c r="BL24" i="13"/>
  <c r="BL21" i="13"/>
  <c r="BL22" i="13"/>
  <c r="BL20" i="13"/>
  <c r="BL25" i="13"/>
  <c r="BM26" i="13"/>
  <c r="BM10" i="13"/>
  <c r="BN27" i="13"/>
  <c r="BM11" i="13"/>
  <c r="BM20" i="13"/>
  <c r="BM22" i="13"/>
  <c r="BM24" i="13"/>
  <c r="BM23" i="13"/>
  <c r="BM25" i="13"/>
  <c r="BM27" i="13"/>
  <c r="BM9" i="13"/>
  <c r="BM8" i="13"/>
  <c r="BN9" i="13"/>
  <c r="BN10" i="13"/>
  <c r="BN11" i="13"/>
  <c r="BN25" i="13"/>
  <c r="BO22" i="13"/>
  <c r="BN20" i="13"/>
  <c r="BN24" i="13"/>
  <c r="BM21" i="13"/>
  <c r="BN26" i="13"/>
  <c r="BN23" i="13"/>
  <c r="BN21" i="13"/>
  <c r="BN22" i="13"/>
  <c r="BN8" i="13"/>
  <c r="BO9" i="13"/>
  <c r="BO27" i="13"/>
  <c r="BO26" i="13"/>
  <c r="BO11" i="13"/>
  <c r="BO21" i="13"/>
  <c r="BO23" i="13"/>
  <c r="BO8" i="13"/>
  <c r="BO20" i="13"/>
  <c r="BO25" i="13"/>
  <c r="BO24" i="13"/>
  <c r="BO10" i="13"/>
  <c r="BP22" i="13"/>
  <c r="BP11" i="13"/>
  <c r="BP24" i="13"/>
  <c r="BP23" i="13"/>
  <c r="BP21" i="13"/>
  <c r="BP25" i="13"/>
  <c r="BQ20" i="13"/>
  <c r="BQ22" i="13"/>
  <c r="BQ24" i="13"/>
  <c r="BQ25" i="13"/>
  <c r="BQ21" i="13"/>
  <c r="BQ23" i="13"/>
  <c r="BP10" i="13"/>
  <c r="BP20" i="13"/>
  <c r="BL10" i="13"/>
  <c r="BL11" i="13"/>
  <c r="BL9" i="13"/>
  <c r="BL27" i="13"/>
  <c r="BK9" i="11"/>
  <c r="BJ13" i="33"/>
  <c r="BK3" i="33"/>
  <c r="BJ4" i="33" s="1"/>
  <c r="BF35" i="13"/>
  <c r="BF36" i="13" s="1"/>
  <c r="BE12" i="25" s="1"/>
  <c r="BG71" i="46"/>
  <c r="BG31" i="13" s="1"/>
  <c r="BJ61" i="13"/>
  <c r="BJ60" i="13"/>
  <c r="BF56" i="13"/>
  <c r="BJ59" i="13"/>
  <c r="BJ20" i="49" s="1"/>
  <c r="BG60" i="46"/>
  <c r="BG8" i="13" s="1"/>
  <c r="BH73" i="46"/>
  <c r="BH99" i="46" s="1"/>
  <c r="BH65" i="46"/>
  <c r="BH91" i="46" s="1"/>
  <c r="BH69" i="46"/>
  <c r="BH95" i="46" s="1"/>
  <c r="BH67" i="46"/>
  <c r="BH93" i="46" s="1"/>
  <c r="BH74" i="46"/>
  <c r="BH100" i="46" s="1"/>
  <c r="BH63" i="46"/>
  <c r="BH89" i="46" s="1"/>
  <c r="BH70" i="46"/>
  <c r="BH96" i="46" s="1"/>
  <c r="BH62" i="46"/>
  <c r="BH88" i="46" s="1"/>
  <c r="BH64" i="46"/>
  <c r="BH90" i="46" s="1"/>
  <c r="BH68" i="46"/>
  <c r="BH94" i="46" s="1"/>
  <c r="BH61" i="46"/>
  <c r="BH87" i="46" s="1"/>
  <c r="BH66" i="46"/>
  <c r="BH92" i="46" s="1"/>
  <c r="BG86" i="46"/>
  <c r="BG9" i="13" s="1"/>
  <c r="BJ9" i="46"/>
  <c r="BG101" i="46"/>
  <c r="BG97" i="46"/>
  <c r="BG32" i="13" s="1"/>
  <c r="BH78" i="46"/>
  <c r="BH104" i="46" s="1"/>
  <c r="BG75" i="46"/>
  <c r="BG39" i="13" s="1"/>
  <c r="BH76" i="46"/>
  <c r="BH102" i="46" s="1"/>
  <c r="BH80" i="46"/>
  <c r="BH106" i="46" s="1"/>
  <c r="BH81" i="46"/>
  <c r="BH107" i="46" s="1"/>
  <c r="BH79" i="46"/>
  <c r="BH105" i="46" s="1"/>
  <c r="BI49" i="46"/>
  <c r="BJ24" i="46"/>
  <c r="BG14" i="20"/>
  <c r="BH26" i="49"/>
  <c r="BH11" i="49" s="1"/>
  <c r="BB53" i="13"/>
  <c r="BC14" i="29" s="1"/>
  <c r="BC18" i="29" s="1"/>
  <c r="BD64" i="13"/>
  <c r="BE13" i="29" s="1"/>
  <c r="BC51" i="13"/>
  <c r="BB13" i="25" s="1"/>
  <c r="BB14" i="25" s="1"/>
  <c r="BB17" i="25" s="1"/>
  <c r="BB23" i="25" s="1"/>
  <c r="BC64" i="13"/>
  <c r="BD13" i="29" s="1"/>
  <c r="BD53" i="13"/>
  <c r="BE28" i="13"/>
  <c r="BD10" i="25" s="1"/>
  <c r="BD11" i="25" s="1"/>
  <c r="BF9" i="13"/>
  <c r="BH98" i="46"/>
  <c r="BG10" i="48"/>
  <c r="BJ20" i="46"/>
  <c r="BD30" i="49"/>
  <c r="BG26" i="49"/>
  <c r="BH13" i="49"/>
  <c r="BH18" i="48" s="1"/>
  <c r="BE9" i="49"/>
  <c r="BG18" i="48"/>
  <c r="W14" i="19"/>
  <c r="Y17" i="29"/>
  <c r="W17" i="48"/>
  <c r="BB18" i="29"/>
  <c r="BA13" i="19"/>
  <c r="BF22" i="25"/>
  <c r="BG26" i="13"/>
  <c r="BG63" i="13" s="1"/>
  <c r="BG9" i="25"/>
  <c r="BA15" i="25"/>
  <c r="BI52" i="46"/>
  <c r="BI54" i="46"/>
  <c r="BI51" i="46"/>
  <c r="BI53" i="46"/>
  <c r="BI56" i="46"/>
  <c r="BI55" i="46"/>
  <c r="BI57" i="46"/>
  <c r="BI41" i="46"/>
  <c r="BI40" i="46"/>
  <c r="BI43" i="46"/>
  <c r="BI42" i="46"/>
  <c r="BI44" i="46"/>
  <c r="BI45" i="46"/>
  <c r="BH9" i="29"/>
  <c r="BH19" i="29" s="1"/>
  <c r="BG9" i="29"/>
  <c r="BI19" i="33"/>
  <c r="BI16" i="33"/>
  <c r="BI13" i="48" s="1"/>
  <c r="BJ2" i="33"/>
  <c r="BJ1" i="33"/>
  <c r="BJ15" i="33"/>
  <c r="BJ21" i="33" s="1"/>
  <c r="BJ14" i="33"/>
  <c r="BJ20" i="33" s="1"/>
  <c r="BI4" i="33"/>
  <c r="BH22" i="33"/>
  <c r="BH25" i="33"/>
  <c r="BH28" i="33" s="1"/>
  <c r="BH12" i="48" s="1"/>
  <c r="BH10" i="48" s="1"/>
  <c r="BE12" i="19"/>
  <c r="BI37" i="46"/>
  <c r="BI39" i="46"/>
  <c r="BI36" i="46"/>
  <c r="BI38" i="46"/>
  <c r="BF83" i="46"/>
  <c r="BF40" i="13"/>
  <c r="BI32" i="46"/>
  <c r="BQ1" i="20"/>
  <c r="BQ2" i="20"/>
  <c r="BP4" i="20"/>
  <c r="BP21" i="20" s="1"/>
  <c r="BP22" i="20" s="1"/>
  <c r="BJ2" i="19"/>
  <c r="BI4" i="19"/>
  <c r="BJ1" i="19"/>
  <c r="BJ113" i="46"/>
  <c r="BJ112" i="46"/>
  <c r="BI2" i="25"/>
  <c r="BH4" i="25"/>
  <c r="BI1" i="25"/>
  <c r="BE109" i="46"/>
  <c r="BE40" i="13"/>
  <c r="BE50" i="13" s="1"/>
  <c r="BI47" i="46"/>
  <c r="BI72" i="46" s="1"/>
  <c r="BI48" i="46"/>
  <c r="BL16" i="25" l="1"/>
  <c r="BK16" i="25"/>
  <c r="BN16" i="25"/>
  <c r="BM16" i="25"/>
  <c r="BP16" i="25"/>
  <c r="BO16" i="25"/>
  <c r="BQ10" i="13"/>
  <c r="BI58" i="13"/>
  <c r="BL18" i="19"/>
  <c r="BL16" i="19"/>
  <c r="BM17" i="19"/>
  <c r="BL19" i="19"/>
  <c r="BL17" i="19"/>
  <c r="BM19" i="19"/>
  <c r="BO18" i="19"/>
  <c r="BM18" i="19"/>
  <c r="BN16" i="19"/>
  <c r="BO17" i="19"/>
  <c r="BN19" i="19"/>
  <c r="BM16" i="19"/>
  <c r="BN17" i="19"/>
  <c r="BP16" i="19"/>
  <c r="BQ17" i="19"/>
  <c r="BO19" i="19"/>
  <c r="BQ19" i="19"/>
  <c r="BN18" i="19"/>
  <c r="BO16" i="19"/>
  <c r="BQ18" i="19"/>
  <c r="BP17" i="19"/>
  <c r="BP19" i="19"/>
  <c r="BP18" i="19"/>
  <c r="BQ16" i="19"/>
  <c r="BC17" i="25"/>
  <c r="BC23" i="25" s="1"/>
  <c r="BQ14" i="11"/>
  <c r="BQ10" i="11"/>
  <c r="BQ15" i="11"/>
  <c r="BQ11" i="11"/>
  <c r="BQ17" i="11"/>
  <c r="BQ12" i="11"/>
  <c r="BQ16" i="11"/>
  <c r="BQ13" i="11"/>
  <c r="BC15" i="25"/>
  <c r="BQ18" i="11"/>
  <c r="BH9" i="49"/>
  <c r="BH16" i="48" s="1"/>
  <c r="BQ25" i="49"/>
  <c r="BM25" i="49"/>
  <c r="BP25" i="49"/>
  <c r="BI19" i="11"/>
  <c r="BK8" i="29" s="1"/>
  <c r="BI59" i="13"/>
  <c r="BI20" i="49" s="1"/>
  <c r="BF50" i="13"/>
  <c r="BF51" i="13" s="1"/>
  <c r="BE13" i="25" s="1"/>
  <c r="BQ9" i="11"/>
  <c r="BB15" i="25"/>
  <c r="BG35" i="13"/>
  <c r="BG36" i="13" s="1"/>
  <c r="BF12" i="25" s="1"/>
  <c r="BF57" i="13"/>
  <c r="BF29" i="49" s="1"/>
  <c r="BG56" i="13"/>
  <c r="BE57" i="13"/>
  <c r="BE29" i="49" s="1"/>
  <c r="BE30" i="49" s="1"/>
  <c r="BH71" i="46"/>
  <c r="BH31" i="13" s="1"/>
  <c r="BI66" i="46"/>
  <c r="BI92" i="46" s="1"/>
  <c r="BI64" i="46"/>
  <c r="BI90" i="46" s="1"/>
  <c r="BI67" i="46"/>
  <c r="BI93" i="46" s="1"/>
  <c r="BI61" i="46"/>
  <c r="BI87" i="46" s="1"/>
  <c r="BI69" i="46"/>
  <c r="BI95" i="46" s="1"/>
  <c r="BI62" i="46"/>
  <c r="BI88" i="46" s="1"/>
  <c r="BI68" i="46"/>
  <c r="BI94" i="46" s="1"/>
  <c r="BI65" i="46"/>
  <c r="BI91" i="46" s="1"/>
  <c r="BI73" i="46"/>
  <c r="BI99" i="46" s="1"/>
  <c r="BI74" i="46"/>
  <c r="BI100" i="46" s="1"/>
  <c r="BI70" i="46"/>
  <c r="BI96" i="46" s="1"/>
  <c r="BI63" i="46"/>
  <c r="BI89" i="46" s="1"/>
  <c r="BH86" i="46"/>
  <c r="BH60" i="46"/>
  <c r="BH8" i="13" s="1"/>
  <c r="BH101" i="46"/>
  <c r="BH97" i="46"/>
  <c r="BH32" i="13" s="1"/>
  <c r="BI81" i="46"/>
  <c r="BI107" i="46" s="1"/>
  <c r="BI76" i="46"/>
  <c r="BI102" i="46" s="1"/>
  <c r="BI79" i="46"/>
  <c r="BI105" i="46" s="1"/>
  <c r="BI82" i="46"/>
  <c r="BI108" i="46" s="1"/>
  <c r="BI80" i="46"/>
  <c r="BI106" i="46" s="1"/>
  <c r="BI78" i="46"/>
  <c r="BI104" i="46" s="1"/>
  <c r="BI77" i="46"/>
  <c r="BI103" i="46" s="1"/>
  <c r="BH75" i="46"/>
  <c r="BH39" i="13" s="1"/>
  <c r="BJ49" i="46"/>
  <c r="AD15" i="20"/>
  <c r="BL13" i="20"/>
  <c r="BH14" i="20"/>
  <c r="BJ19" i="49"/>
  <c r="BJ21" i="49" s="1"/>
  <c r="BJ10" i="49" s="1"/>
  <c r="BJ26" i="49"/>
  <c r="BJ11" i="49" s="1"/>
  <c r="BI26" i="49"/>
  <c r="BI11" i="49" s="1"/>
  <c r="BB13" i="19"/>
  <c r="BE14" i="29"/>
  <c r="BE18" i="29" s="1"/>
  <c r="BC53" i="13"/>
  <c r="BD14" i="29" s="1"/>
  <c r="BD18" i="29" s="1"/>
  <c r="BF27" i="13"/>
  <c r="BI98" i="46"/>
  <c r="BG27" i="13"/>
  <c r="BI13" i="49"/>
  <c r="BE16" i="48"/>
  <c r="BG11" i="49"/>
  <c r="Y21" i="29"/>
  <c r="Y20" i="29"/>
  <c r="BE62" i="13"/>
  <c r="BG22" i="25"/>
  <c r="BH26" i="13"/>
  <c r="BH63" i="13" s="1"/>
  <c r="BF12" i="19"/>
  <c r="BG19" i="29"/>
  <c r="BH9" i="25"/>
  <c r="BJ26" i="33"/>
  <c r="BJ27" i="33"/>
  <c r="BJ51" i="46"/>
  <c r="BJ53" i="46"/>
  <c r="BJ52" i="46"/>
  <c r="BJ54" i="46"/>
  <c r="BJ55" i="46"/>
  <c r="BJ57" i="46"/>
  <c r="BJ56" i="46"/>
  <c r="BJ40" i="46"/>
  <c r="BJ41" i="46"/>
  <c r="BJ42" i="46"/>
  <c r="BJ44" i="46"/>
  <c r="BJ43" i="46"/>
  <c r="BJ45" i="46"/>
  <c r="BJ19" i="33"/>
  <c r="BJ16" i="33"/>
  <c r="BJ13" i="48" s="1"/>
  <c r="BP13" i="48" s="1"/>
  <c r="BI25" i="33"/>
  <c r="BI28" i="33" s="1"/>
  <c r="BI12" i="48" s="1"/>
  <c r="BI10" i="48" s="1"/>
  <c r="BI22" i="33"/>
  <c r="BI9" i="29"/>
  <c r="BI19" i="29" s="1"/>
  <c r="BJ36" i="46"/>
  <c r="BJ38" i="46"/>
  <c r="BJ37" i="46"/>
  <c r="BJ39" i="46"/>
  <c r="BG83" i="46"/>
  <c r="BF109" i="46"/>
  <c r="BQ21" i="20"/>
  <c r="BQ22" i="20" s="1"/>
  <c r="BJ48" i="46"/>
  <c r="BJ47" i="46"/>
  <c r="BJ72" i="46" s="1"/>
  <c r="BJ32" i="46"/>
  <c r="BG12" i="19"/>
  <c r="BS19" i="19" l="1"/>
  <c r="BS16" i="19"/>
  <c r="BS17" i="19"/>
  <c r="BQ58" i="13"/>
  <c r="BR58" i="13" s="1"/>
  <c r="BI19" i="49"/>
  <c r="BS18" i="19"/>
  <c r="BR16" i="25"/>
  <c r="BI21" i="49"/>
  <c r="BI10" i="49" s="1"/>
  <c r="BI9" i="49"/>
  <c r="BI16" i="48" s="1"/>
  <c r="BI71" i="46"/>
  <c r="BI31" i="13" s="1"/>
  <c r="BH35" i="13"/>
  <c r="BH36" i="13" s="1"/>
  <c r="BG12" i="25" s="1"/>
  <c r="BH56" i="13"/>
  <c r="BF28" i="13"/>
  <c r="BE10" i="25" s="1"/>
  <c r="BE11" i="25" s="1"/>
  <c r="BE14" i="25" s="1"/>
  <c r="BE17" i="25" s="1"/>
  <c r="BE23" i="25" s="1"/>
  <c r="BF62" i="13"/>
  <c r="BF64" i="13" s="1"/>
  <c r="BG13" i="29" s="1"/>
  <c r="BI60" i="46"/>
  <c r="BI8" i="13" s="1"/>
  <c r="BJ61" i="46"/>
  <c r="BJ87" i="46" s="1"/>
  <c r="BJ70" i="46"/>
  <c r="BJ96" i="46" s="1"/>
  <c r="BJ68" i="46"/>
  <c r="BJ94" i="46" s="1"/>
  <c r="BJ74" i="46"/>
  <c r="BJ100" i="46" s="1"/>
  <c r="BJ69" i="46"/>
  <c r="BJ95" i="46" s="1"/>
  <c r="BJ63" i="46"/>
  <c r="BJ89" i="46" s="1"/>
  <c r="BJ67" i="46"/>
  <c r="BJ93" i="46" s="1"/>
  <c r="BJ73" i="46"/>
  <c r="BJ99" i="46" s="1"/>
  <c r="BJ66" i="46"/>
  <c r="BJ92" i="46" s="1"/>
  <c r="BJ64" i="46"/>
  <c r="BJ90" i="46" s="1"/>
  <c r="BJ62" i="46"/>
  <c r="BJ88" i="46" s="1"/>
  <c r="BJ65" i="46"/>
  <c r="BJ91" i="46" s="1"/>
  <c r="BI86" i="46"/>
  <c r="BI9" i="13" s="1"/>
  <c r="BI101" i="46"/>
  <c r="BI97" i="46"/>
  <c r="BI32" i="13" s="1"/>
  <c r="BJ78" i="46"/>
  <c r="BJ104" i="46" s="1"/>
  <c r="BJ81" i="46"/>
  <c r="BJ107" i="46" s="1"/>
  <c r="BJ76" i="46"/>
  <c r="BJ102" i="46" s="1"/>
  <c r="BI75" i="46"/>
  <c r="BI39" i="13" s="1"/>
  <c r="BJ82" i="46"/>
  <c r="BJ108" i="46" s="1"/>
  <c r="BJ80" i="46"/>
  <c r="BJ106" i="46" s="1"/>
  <c r="BJ79" i="46"/>
  <c r="BJ105" i="46" s="1"/>
  <c r="BJ77" i="46"/>
  <c r="BJ103" i="46" s="1"/>
  <c r="BP11" i="49"/>
  <c r="BM13" i="20"/>
  <c r="BI14" i="20"/>
  <c r="BN13" i="20"/>
  <c r="BI9" i="25"/>
  <c r="BJ13" i="49"/>
  <c r="BJ18" i="48" s="1"/>
  <c r="BC13" i="19"/>
  <c r="BJ9" i="49"/>
  <c r="BJ16" i="48" s="1"/>
  <c r="BD13" i="19"/>
  <c r="BF30" i="49"/>
  <c r="BE51" i="13"/>
  <c r="BD13" i="25" s="1"/>
  <c r="BD14" i="25" s="1"/>
  <c r="BE64" i="13"/>
  <c r="BF13" i="29" s="1"/>
  <c r="BG28" i="13"/>
  <c r="BF10" i="25" s="1"/>
  <c r="BF11" i="25" s="1"/>
  <c r="BH9" i="13"/>
  <c r="BJ98" i="46"/>
  <c r="BG9" i="49"/>
  <c r="BP9" i="49" s="1"/>
  <c r="BI18" i="48"/>
  <c r="Z17" i="29"/>
  <c r="X17" i="48"/>
  <c r="X14" i="19"/>
  <c r="BH22" i="25"/>
  <c r="BI26" i="13"/>
  <c r="BI63" i="13" s="1"/>
  <c r="BH83" i="46"/>
  <c r="BJ22" i="33"/>
  <c r="BJ25" i="33"/>
  <c r="BJ28" i="33" s="1"/>
  <c r="BJ12" i="48" s="1"/>
  <c r="BH40" i="13"/>
  <c r="BH50" i="13" s="1"/>
  <c r="BG40" i="13"/>
  <c r="BG50" i="13" s="1"/>
  <c r="BG109" i="46"/>
  <c r="BH12" i="19"/>
  <c r="BD17" i="25" l="1"/>
  <c r="BD23" i="25" s="1"/>
  <c r="BI35" i="13"/>
  <c r="BI36" i="13" s="1"/>
  <c r="BH12" i="25" s="1"/>
  <c r="BE15" i="25"/>
  <c r="BJ71" i="46"/>
  <c r="BJ31" i="13" s="1"/>
  <c r="BF53" i="13"/>
  <c r="BH57" i="13"/>
  <c r="BH29" i="49" s="1"/>
  <c r="BG57" i="13"/>
  <c r="BG29" i="49" s="1"/>
  <c r="BG30" i="49" s="1"/>
  <c r="BI56" i="13"/>
  <c r="BJ60" i="46"/>
  <c r="BJ8" i="13" s="1"/>
  <c r="BQ8" i="13" s="1"/>
  <c r="BJ86" i="46"/>
  <c r="BJ9" i="13" s="1"/>
  <c r="BQ9" i="13" s="1"/>
  <c r="BJ101" i="46"/>
  <c r="BJ97" i="46"/>
  <c r="BJ32" i="13" s="1"/>
  <c r="BJ75" i="46"/>
  <c r="BJ39" i="13" s="1"/>
  <c r="BP18" i="48"/>
  <c r="BJ10" i="48"/>
  <c r="BP10" i="48" s="1"/>
  <c r="BP12" i="48"/>
  <c r="BO13" i="20"/>
  <c r="BJ14" i="20"/>
  <c r="AE15" i="20"/>
  <c r="BK14" i="20"/>
  <c r="BE53" i="13"/>
  <c r="BF14" i="29"/>
  <c r="BE13" i="19" s="1"/>
  <c r="BH27" i="13"/>
  <c r="BI27" i="13"/>
  <c r="BG16" i="48"/>
  <c r="BP16" i="48" s="1"/>
  <c r="BG14" i="29"/>
  <c r="BG18" i="29" s="1"/>
  <c r="Z20" i="29"/>
  <c r="Z21" i="29"/>
  <c r="BG62" i="13"/>
  <c r="BH51" i="13"/>
  <c r="BG13" i="25" s="1"/>
  <c r="BI22" i="25"/>
  <c r="BJ26" i="13"/>
  <c r="BQ26" i="13" s="1"/>
  <c r="BD15" i="25"/>
  <c r="BJ9" i="29"/>
  <c r="BH109" i="46"/>
  <c r="BI83" i="46"/>
  <c r="BP26" i="13" l="1"/>
  <c r="BP9" i="13"/>
  <c r="BP8" i="13"/>
  <c r="BH62" i="13"/>
  <c r="BH64" i="13" s="1"/>
  <c r="BI13" i="29" s="1"/>
  <c r="BJ63" i="13"/>
  <c r="BL26" i="13"/>
  <c r="BJ35" i="13"/>
  <c r="BJ36" i="13" s="1"/>
  <c r="BI12" i="25" s="1"/>
  <c r="BJ56" i="13"/>
  <c r="BL14" i="20"/>
  <c r="BH28" i="13"/>
  <c r="BG10" i="25" s="1"/>
  <c r="BG11" i="25" s="1"/>
  <c r="BG14" i="25" s="1"/>
  <c r="BG17" i="25" s="1"/>
  <c r="BG23" i="25" s="1"/>
  <c r="BF18" i="29"/>
  <c r="BH30" i="49"/>
  <c r="BG51" i="13"/>
  <c r="BG53" i="13" s="1"/>
  <c r="BG64" i="13"/>
  <c r="BH13" i="29" s="1"/>
  <c r="BI28" i="13"/>
  <c r="BH10" i="25" s="1"/>
  <c r="BH11" i="25" s="1"/>
  <c r="BF13" i="19"/>
  <c r="Y14" i="19"/>
  <c r="AA17" i="29"/>
  <c r="Y17" i="48"/>
  <c r="BI12" i="19"/>
  <c r="BJ19" i="29"/>
  <c r="BJ27" i="13"/>
  <c r="BQ27" i="13" s="1"/>
  <c r="BJ83" i="46"/>
  <c r="BK9" i="29"/>
  <c r="BK19" i="29" s="1"/>
  <c r="BJ109" i="46"/>
  <c r="BI40" i="13"/>
  <c r="BI50" i="13" s="1"/>
  <c r="BI109" i="46"/>
  <c r="BP27" i="13" l="1"/>
  <c r="BG15" i="25"/>
  <c r="BI57" i="13"/>
  <c r="BI29" i="49" s="1"/>
  <c r="BI30" i="49" s="1"/>
  <c r="AF15" i="20"/>
  <c r="BP13" i="20"/>
  <c r="BM14" i="20"/>
  <c r="BH53" i="13"/>
  <c r="BF13" i="25"/>
  <c r="BF14" i="25" s="1"/>
  <c r="BF17" i="25" s="1"/>
  <c r="BF23" i="25" s="1"/>
  <c r="BH14" i="29"/>
  <c r="BG13" i="19" s="1"/>
  <c r="BJ28" i="13"/>
  <c r="BI10" i="25" s="1"/>
  <c r="BI11" i="25" s="1"/>
  <c r="BI14" i="29"/>
  <c r="BI18" i="29" s="1"/>
  <c r="AA20" i="29"/>
  <c r="AA21" i="29"/>
  <c r="BI62" i="13"/>
  <c r="BJ12" i="19"/>
  <c r="BJ40" i="13"/>
  <c r="BJ50" i="13" s="1"/>
  <c r="BF15" i="25" l="1"/>
  <c r="BJ57" i="13"/>
  <c r="BJ29" i="49" s="1"/>
  <c r="BJ30" i="49" s="1"/>
  <c r="BQ13" i="20"/>
  <c r="BN14" i="20"/>
  <c r="BH18" i="29"/>
  <c r="BI51" i="13"/>
  <c r="BH13" i="25" s="1"/>
  <c r="BH14" i="25" s="1"/>
  <c r="BH17" i="25" s="1"/>
  <c r="BH23" i="25" s="1"/>
  <c r="BH13" i="19"/>
  <c r="Z14" i="19"/>
  <c r="AB17" i="29"/>
  <c r="Z17" i="48"/>
  <c r="BM17" i="48" s="1"/>
  <c r="BJ62" i="13"/>
  <c r="BH15" i="25" l="1"/>
  <c r="BO14" i="20"/>
  <c r="AG15" i="20"/>
  <c r="BI53" i="13"/>
  <c r="BI64" i="13"/>
  <c r="BJ13" i="29" s="1"/>
  <c r="BJ14" i="29" s="1"/>
  <c r="BJ51" i="13"/>
  <c r="BI13" i="25" s="1"/>
  <c r="BI14" i="25" s="1"/>
  <c r="BI17" i="25" s="1"/>
  <c r="BI23" i="25" s="1"/>
  <c r="BJ64" i="13"/>
  <c r="BK13" i="29" s="1"/>
  <c r="AB21" i="29"/>
  <c r="AB20" i="29"/>
  <c r="BI15" i="25" l="1"/>
  <c r="AA14" i="19"/>
  <c r="AC17" i="29"/>
  <c r="AA17" i="48"/>
  <c r="BI13" i="19"/>
  <c r="BJ18" i="29"/>
  <c r="AH15" i="20" l="1"/>
  <c r="BP14" i="20"/>
  <c r="AC20" i="29"/>
  <c r="AC21" i="29"/>
  <c r="AB14" i="19" l="1"/>
  <c r="AD17" i="29"/>
  <c r="AB17" i="48"/>
  <c r="AI15" i="20" l="1"/>
  <c r="AD20" i="29"/>
  <c r="AD21" i="29"/>
  <c r="AC14" i="19" l="1"/>
  <c r="AE17" i="29"/>
  <c r="AC17" i="48"/>
  <c r="AJ15" i="20" l="1"/>
  <c r="AE21" i="29"/>
  <c r="AE20" i="29"/>
  <c r="AF17" i="29" l="1"/>
  <c r="AD17" i="48"/>
  <c r="AD14" i="19"/>
  <c r="AK15" i="20" l="1"/>
  <c r="BQ11" i="49"/>
  <c r="AF21" i="29"/>
  <c r="AF20" i="29"/>
  <c r="BQ9" i="49" l="1"/>
  <c r="AG17" i="29"/>
  <c r="AE17" i="48"/>
  <c r="AE14" i="19"/>
  <c r="AL15" i="20" l="1"/>
  <c r="AG21" i="29"/>
  <c r="AG20" i="29"/>
  <c r="AH17" i="29" l="1"/>
  <c r="AF17" i="48"/>
  <c r="AF14" i="19"/>
  <c r="AM15" i="20" l="1"/>
  <c r="AH21" i="29"/>
  <c r="AH20" i="29"/>
  <c r="AG14" i="19" l="1"/>
  <c r="AI17" i="29"/>
  <c r="AG17" i="48"/>
  <c r="AN15" i="20" l="1"/>
  <c r="AI20" i="29"/>
  <c r="AI21" i="29"/>
  <c r="AH14" i="19" l="1"/>
  <c r="AJ17" i="29"/>
  <c r="AH17" i="48"/>
  <c r="AO15" i="20" l="1"/>
  <c r="AJ21" i="29"/>
  <c r="AJ20" i="29"/>
  <c r="AK17" i="29" l="1"/>
  <c r="AI17" i="48"/>
  <c r="AI14" i="19"/>
  <c r="AP15" i="20" l="1"/>
  <c r="AK21" i="29"/>
  <c r="AK20" i="29"/>
  <c r="AJ14" i="19" l="1"/>
  <c r="AL17" i="29"/>
  <c r="AJ17" i="48"/>
  <c r="AQ15" i="20" l="1"/>
  <c r="AL21" i="29"/>
  <c r="AL20" i="29"/>
  <c r="AM17" i="29" l="1"/>
  <c r="AK17" i="48"/>
  <c r="AK14" i="19"/>
  <c r="AR15" i="20" l="1"/>
  <c r="AM21" i="29"/>
  <c r="AM20" i="29"/>
  <c r="AN17" i="29" l="1"/>
  <c r="AL17" i="48"/>
  <c r="BN17" i="48" s="1"/>
  <c r="AL14" i="19"/>
  <c r="AS15" i="20" l="1"/>
  <c r="AN21" i="29"/>
  <c r="AN20" i="29"/>
  <c r="AM14" i="19" l="1"/>
  <c r="AO17" i="29"/>
  <c r="AM17" i="48"/>
  <c r="AT15" i="20" l="1"/>
  <c r="AO20" i="29"/>
  <c r="AO21" i="29"/>
  <c r="AN14" i="19" l="1"/>
  <c r="AP17" i="29"/>
  <c r="AN17" i="48"/>
  <c r="AU15" i="20" l="1"/>
  <c r="AP21" i="29"/>
  <c r="AP20" i="29"/>
  <c r="AQ17" i="29" l="1"/>
  <c r="AO17" i="48"/>
  <c r="AO14" i="19"/>
  <c r="AV15" i="20" l="1"/>
  <c r="AQ20" i="29"/>
  <c r="AQ21" i="29"/>
  <c r="AP14" i="19" l="1"/>
  <c r="AR17" i="29"/>
  <c r="AP17" i="48"/>
  <c r="AW15" i="20" l="1"/>
  <c r="AR20" i="29"/>
  <c r="AR21" i="29"/>
  <c r="AQ14" i="19" l="1"/>
  <c r="AS17" i="29"/>
  <c r="AQ17" i="48"/>
  <c r="AX15" i="20" l="1"/>
  <c r="AS21" i="29"/>
  <c r="AS20" i="29"/>
  <c r="AT17" i="29" l="1"/>
  <c r="AR17" i="48"/>
  <c r="AR14" i="19"/>
  <c r="AY15" i="20" l="1"/>
  <c r="AT21" i="29"/>
  <c r="AT20" i="29"/>
  <c r="AS14" i="19" l="1"/>
  <c r="AU17" i="29"/>
  <c r="AS17" i="48"/>
  <c r="AZ15" i="20" l="1"/>
  <c r="AU21" i="29"/>
  <c r="AU20" i="29"/>
  <c r="AT14" i="19" l="1"/>
  <c r="AV17" i="29"/>
  <c r="AT17" i="48"/>
  <c r="BA15" i="20" l="1"/>
  <c r="AV20" i="29"/>
  <c r="AV21" i="29"/>
  <c r="AU14" i="19" l="1"/>
  <c r="AW17" i="29"/>
  <c r="AU17" i="48"/>
  <c r="BB15" i="20" l="1"/>
  <c r="AW21" i="29"/>
  <c r="AW20" i="29"/>
  <c r="H39" i="45" l="1"/>
  <c r="G48" i="45"/>
  <c r="F50" i="45"/>
  <c r="H36" i="45"/>
  <c r="G38" i="45"/>
  <c r="G39" i="45"/>
  <c r="AX17" i="29"/>
  <c r="AV17" i="48"/>
  <c r="AV14" i="19"/>
  <c r="J45" i="45" l="1"/>
  <c r="E45" i="45"/>
  <c r="E40" i="45"/>
  <c r="E37" i="45"/>
  <c r="F37" i="45"/>
  <c r="J37" i="45"/>
  <c r="E41" i="45"/>
  <c r="G41" i="45"/>
  <c r="J41" i="45"/>
  <c r="H41" i="45"/>
  <c r="I41" i="45"/>
  <c r="F41" i="45"/>
  <c r="H40" i="45"/>
  <c r="I52" i="45"/>
  <c r="F40" i="45"/>
  <c r="F52" i="45"/>
  <c r="E51" i="45"/>
  <c r="G49" i="45"/>
  <c r="I36" i="45"/>
  <c r="E36" i="45"/>
  <c r="G36" i="45"/>
  <c r="I51" i="45"/>
  <c r="H52" i="45"/>
  <c r="G52" i="45"/>
  <c r="J36" i="45"/>
  <c r="E50" i="45"/>
  <c r="E38" i="45"/>
  <c r="E52" i="45"/>
  <c r="G51" i="45"/>
  <c r="J38" i="45"/>
  <c r="I49" i="45"/>
  <c r="F38" i="45"/>
  <c r="H50" i="45"/>
  <c r="J51" i="45"/>
  <c r="E48" i="45"/>
  <c r="H48" i="45"/>
  <c r="J42" i="45"/>
  <c r="G42" i="45"/>
  <c r="F42" i="45"/>
  <c r="H42" i="45"/>
  <c r="I42" i="45"/>
  <c r="E42" i="45"/>
  <c r="F36" i="45"/>
  <c r="J48" i="45"/>
  <c r="J52" i="45"/>
  <c r="F49" i="45"/>
  <c r="H37" i="45"/>
  <c r="G50" i="45"/>
  <c r="J50" i="45"/>
  <c r="G45" i="45"/>
  <c r="I48" i="45"/>
  <c r="E49" i="45"/>
  <c r="F45" i="45"/>
  <c r="I50" i="45"/>
  <c r="G40" i="45"/>
  <c r="J39" i="45"/>
  <c r="F51" i="45"/>
  <c r="I37" i="45"/>
  <c r="I38" i="45"/>
  <c r="H51" i="45"/>
  <c r="J40" i="45"/>
  <c r="E25" i="45"/>
  <c r="G37" i="45"/>
  <c r="J49" i="45"/>
  <c r="H45" i="45"/>
  <c r="H44" i="45"/>
  <c r="J44" i="45"/>
  <c r="G44" i="45"/>
  <c r="E44" i="45"/>
  <c r="I44" i="45"/>
  <c r="F44" i="45"/>
  <c r="E8" i="45"/>
  <c r="F39" i="45"/>
  <c r="E39" i="45"/>
  <c r="I47" i="45"/>
  <c r="J47" i="45"/>
  <c r="H47" i="45"/>
  <c r="E47" i="45"/>
  <c r="F47" i="45"/>
  <c r="G47" i="45"/>
  <c r="I39" i="45"/>
  <c r="H38" i="45"/>
  <c r="I45" i="45"/>
  <c r="H49" i="45"/>
  <c r="I40" i="45"/>
  <c r="F48" i="45"/>
  <c r="E53" i="45"/>
  <c r="BC15" i="20"/>
  <c r="AX21" i="29"/>
  <c r="AX20" i="29"/>
  <c r="AW14" i="19" l="1"/>
  <c r="AY17" i="29"/>
  <c r="AW17" i="48"/>
  <c r="BD15" i="20" l="1"/>
  <c r="AY21" i="29"/>
  <c r="AY20" i="29"/>
  <c r="AZ17" i="29" l="1"/>
  <c r="AX17" i="48"/>
  <c r="BO17" i="48" s="1"/>
  <c r="AX14" i="19"/>
  <c r="BE15" i="20" l="1"/>
  <c r="AZ20" i="29"/>
  <c r="AZ21" i="29"/>
  <c r="BA17" i="29" l="1"/>
  <c r="AY17" i="48"/>
  <c r="AY14" i="19"/>
  <c r="BF15" i="20" l="1"/>
  <c r="BA21" i="29"/>
  <c r="BA20" i="29"/>
  <c r="BB17" i="29" l="1"/>
  <c r="AZ17" i="48"/>
  <c r="AZ14" i="19"/>
  <c r="BG15" i="20" l="1"/>
  <c r="BM20" i="49"/>
  <c r="BN20" i="49"/>
  <c r="BO20" i="49"/>
  <c r="BP20" i="49"/>
  <c r="BQ20" i="49"/>
  <c r="BB21" i="29"/>
  <c r="BB20" i="29"/>
  <c r="BM91" i="46" l="1"/>
  <c r="BM89" i="46"/>
  <c r="BM93" i="46"/>
  <c r="BM96" i="46"/>
  <c r="BM88" i="46"/>
  <c r="BM90" i="46"/>
  <c r="BM95" i="46"/>
  <c r="BM87" i="46"/>
  <c r="BM94" i="46"/>
  <c r="BM92" i="46"/>
  <c r="BN87" i="46"/>
  <c r="BN88" i="46"/>
  <c r="BN95" i="46"/>
  <c r="BN93" i="46"/>
  <c r="BN91" i="46"/>
  <c r="BN96" i="46"/>
  <c r="BN92" i="46"/>
  <c r="BN90" i="46"/>
  <c r="BN89" i="46"/>
  <c r="BN94" i="46"/>
  <c r="BO95" i="46"/>
  <c r="BO96" i="46"/>
  <c r="BO87" i="46"/>
  <c r="BO93" i="46"/>
  <c r="BO91" i="46"/>
  <c r="BO88" i="46"/>
  <c r="BO89" i="46"/>
  <c r="BO90" i="46"/>
  <c r="BO94" i="46"/>
  <c r="BP96" i="46"/>
  <c r="BO92" i="46"/>
  <c r="BP94" i="46"/>
  <c r="BP95" i="46"/>
  <c r="BP92" i="46"/>
  <c r="BP87" i="46"/>
  <c r="BP93" i="46"/>
  <c r="BP89" i="46"/>
  <c r="BQ89" i="46"/>
  <c r="BP91" i="46"/>
  <c r="BQ95" i="46"/>
  <c r="BP88" i="46"/>
  <c r="BQ96" i="46"/>
  <c r="BQ94" i="46"/>
  <c r="BQ88" i="46"/>
  <c r="BQ87" i="46"/>
  <c r="BQ92" i="46"/>
  <c r="BQ91" i="46"/>
  <c r="BP90" i="46"/>
  <c r="BQ93" i="46"/>
  <c r="BQ90" i="46"/>
  <c r="BL96" i="46"/>
  <c r="BL90" i="46"/>
  <c r="BL92" i="46"/>
  <c r="BL89" i="46"/>
  <c r="BL93" i="46"/>
  <c r="BL95" i="46"/>
  <c r="BL94" i="46"/>
  <c r="BL91" i="46"/>
  <c r="BL88" i="46"/>
  <c r="BM70" i="46"/>
  <c r="BM63" i="46"/>
  <c r="BM67" i="46"/>
  <c r="BM62" i="46"/>
  <c r="BM69" i="46"/>
  <c r="BM64" i="46"/>
  <c r="BM66" i="46"/>
  <c r="BN69" i="46"/>
  <c r="BM61" i="46"/>
  <c r="BN67" i="46"/>
  <c r="BN61" i="46"/>
  <c r="BN70" i="46"/>
  <c r="BN63" i="46"/>
  <c r="BN68" i="46"/>
  <c r="BN65" i="46"/>
  <c r="BM68" i="46"/>
  <c r="BO62" i="46"/>
  <c r="BO69" i="46"/>
  <c r="BO70" i="46"/>
  <c r="BO67" i="46"/>
  <c r="BO64" i="46"/>
  <c r="BN62" i="46"/>
  <c r="BO66" i="46"/>
  <c r="BM65" i="46"/>
  <c r="BO68" i="46"/>
  <c r="BO65" i="46"/>
  <c r="BP66" i="46"/>
  <c r="BP68" i="46"/>
  <c r="BN64" i="46"/>
  <c r="BO61" i="46"/>
  <c r="BP63" i="46"/>
  <c r="BN66" i="46"/>
  <c r="BP69" i="46"/>
  <c r="BP65" i="46"/>
  <c r="BO63" i="46"/>
  <c r="BP64" i="46"/>
  <c r="BP62" i="46"/>
  <c r="BP70" i="46"/>
  <c r="BP61" i="46"/>
  <c r="BQ65" i="46"/>
  <c r="BQ69" i="46"/>
  <c r="BQ62" i="46"/>
  <c r="BQ67" i="46"/>
  <c r="BP67" i="46"/>
  <c r="BQ64" i="46"/>
  <c r="BQ61" i="46"/>
  <c r="BQ70" i="46"/>
  <c r="BQ68" i="46"/>
  <c r="BQ63" i="46"/>
  <c r="BQ66" i="46"/>
  <c r="BL63" i="46"/>
  <c r="BL68" i="46"/>
  <c r="BL65" i="46"/>
  <c r="BL66" i="46"/>
  <c r="BL64" i="46"/>
  <c r="BL69" i="46"/>
  <c r="BL70" i="46"/>
  <c r="BL62" i="46"/>
  <c r="BL67" i="46"/>
  <c r="BM108" i="46"/>
  <c r="BM105" i="46"/>
  <c r="BM104" i="46"/>
  <c r="BM106" i="46"/>
  <c r="BM103" i="46"/>
  <c r="BM102" i="46"/>
  <c r="BM107" i="46"/>
  <c r="BN108" i="46"/>
  <c r="BN103" i="46"/>
  <c r="BN105" i="46"/>
  <c r="BN102" i="46"/>
  <c r="BO108" i="46"/>
  <c r="BN106" i="46"/>
  <c r="BN104" i="46"/>
  <c r="BN107" i="46"/>
  <c r="BO105" i="46"/>
  <c r="BO103" i="46"/>
  <c r="BO102" i="46"/>
  <c r="BO104" i="46"/>
  <c r="BO106" i="46"/>
  <c r="BO107" i="46"/>
  <c r="BQ108" i="46"/>
  <c r="BP108" i="46"/>
  <c r="BP105" i="46"/>
  <c r="BP102" i="46"/>
  <c r="BP104" i="46"/>
  <c r="BP107" i="46"/>
  <c r="BP103" i="46"/>
  <c r="BP106" i="46"/>
  <c r="BQ103" i="46"/>
  <c r="BQ105" i="46"/>
  <c r="BQ107" i="46"/>
  <c r="BQ102" i="46"/>
  <c r="BQ104" i="46"/>
  <c r="BQ106" i="46"/>
  <c r="BL106" i="46"/>
  <c r="BL105" i="46"/>
  <c r="BL103" i="46"/>
  <c r="BL108" i="46"/>
  <c r="BL104" i="46"/>
  <c r="BL107" i="46"/>
  <c r="BM97" i="46"/>
  <c r="BO97" i="46"/>
  <c r="BN97" i="46"/>
  <c r="BQ97" i="46"/>
  <c r="BP97" i="46"/>
  <c r="BL97" i="46"/>
  <c r="BL100" i="46"/>
  <c r="BM61" i="13"/>
  <c r="BN61" i="13"/>
  <c r="BO61" i="13"/>
  <c r="BQ61" i="13"/>
  <c r="BP61" i="13"/>
  <c r="BL57" i="13"/>
  <c r="BL56" i="13"/>
  <c r="BL64" i="13"/>
  <c r="BL62" i="13"/>
  <c r="BL61" i="13"/>
  <c r="BL60" i="13"/>
  <c r="BM60" i="13"/>
  <c r="BN60" i="13"/>
  <c r="BO60" i="13"/>
  <c r="BP60" i="13"/>
  <c r="BQ60" i="13"/>
  <c r="BL33" i="13"/>
  <c r="BM34" i="13"/>
  <c r="BM33" i="13"/>
  <c r="BN34" i="13"/>
  <c r="BN33" i="13"/>
  <c r="BO34" i="13"/>
  <c r="BP34" i="13"/>
  <c r="BQ34" i="13"/>
  <c r="BO33" i="13"/>
  <c r="BQ33" i="13"/>
  <c r="BP33" i="13"/>
  <c r="BM74" i="46"/>
  <c r="BO74" i="46"/>
  <c r="BN74" i="46"/>
  <c r="BQ74" i="46"/>
  <c r="BP74" i="46"/>
  <c r="BM19" i="49"/>
  <c r="BM21" i="49"/>
  <c r="BN21" i="49"/>
  <c r="BO21" i="49"/>
  <c r="BP21" i="49"/>
  <c r="BQ21" i="49"/>
  <c r="BC17" i="29"/>
  <c r="BA17" i="48"/>
  <c r="BA14" i="19"/>
  <c r="BM40" i="13"/>
  <c r="BO40" i="13"/>
  <c r="BM46" i="13"/>
  <c r="BM42" i="13"/>
  <c r="BM44" i="13"/>
  <c r="BM45" i="13"/>
  <c r="BN45" i="13"/>
  <c r="BN42" i="13"/>
  <c r="BN44" i="13"/>
  <c r="BN46" i="13"/>
  <c r="BN36" i="13"/>
  <c r="BN41" i="13"/>
  <c r="BN39" i="13"/>
  <c r="BN40" i="13"/>
  <c r="BN43" i="13"/>
  <c r="BO36" i="13"/>
  <c r="BO44" i="13"/>
  <c r="BO42" i="13"/>
  <c r="BO46" i="13"/>
  <c r="BO45" i="13"/>
  <c r="BO41" i="13"/>
  <c r="BO43" i="13"/>
  <c r="BO39" i="13"/>
  <c r="BQ40" i="13"/>
  <c r="BP42" i="13"/>
  <c r="BQ46" i="13"/>
  <c r="BQ39" i="13"/>
  <c r="BP41" i="13"/>
  <c r="BP39" i="13"/>
  <c r="BQ36" i="13"/>
  <c r="BP44" i="13"/>
  <c r="BP40" i="13"/>
  <c r="BQ45" i="13"/>
  <c r="BP43" i="13"/>
  <c r="BQ44" i="13"/>
  <c r="BP46" i="13"/>
  <c r="BQ42" i="13"/>
  <c r="BP36" i="13"/>
  <c r="BP45" i="13"/>
  <c r="BQ41" i="13"/>
  <c r="BQ43" i="13"/>
  <c r="BQ50" i="13"/>
  <c r="BP50" i="13"/>
  <c r="BO50" i="13"/>
  <c r="BM41" i="13"/>
  <c r="BM43" i="13"/>
  <c r="BL79" i="46"/>
  <c r="BL82" i="46"/>
  <c r="BL77" i="46"/>
  <c r="BL80" i="46"/>
  <c r="BL78" i="46"/>
  <c r="BL81" i="46"/>
  <c r="BL83" i="46"/>
  <c r="BL42" i="13"/>
  <c r="BL44" i="13"/>
  <c r="BL47" i="13"/>
  <c r="BL45" i="13"/>
  <c r="BL46" i="13"/>
  <c r="BL43" i="13"/>
  <c r="BL34" i="13"/>
  <c r="BL102" i="46"/>
  <c r="BL61" i="46"/>
  <c r="BL87" i="46"/>
  <c r="BK19" i="11"/>
  <c r="BM13" i="29"/>
  <c r="BM14" i="29"/>
  <c r="BM18" i="29"/>
  <c r="BN14" i="29"/>
  <c r="BN13" i="29"/>
  <c r="BM20" i="29"/>
  <c r="BM21" i="29"/>
  <c r="BL28" i="13"/>
  <c r="BL53" i="13"/>
  <c r="BM28" i="13"/>
  <c r="BM53" i="13"/>
  <c r="BO28" i="13"/>
  <c r="BL41" i="13"/>
  <c r="BL35" i="13"/>
  <c r="BL8" i="13"/>
  <c r="BL40" i="13"/>
  <c r="BL32" i="13"/>
  <c r="BL31" i="13"/>
  <c r="BL39" i="13"/>
  <c r="BL50" i="13"/>
  <c r="BL36" i="13"/>
  <c r="BL51" i="13"/>
  <c r="BP73" i="46"/>
  <c r="BP98" i="46"/>
  <c r="BQ60" i="46"/>
  <c r="BN71" i="46"/>
  <c r="BQ73" i="46"/>
  <c r="BQ98" i="46"/>
  <c r="BP72" i="46"/>
  <c r="BQ83" i="46"/>
  <c r="BP101" i="46"/>
  <c r="BP60" i="46"/>
  <c r="BQ75" i="46"/>
  <c r="BN72" i="46"/>
  <c r="BP109" i="46"/>
  <c r="H36" i="29" s="1"/>
  <c r="BO99" i="46"/>
  <c r="BQ71" i="46"/>
  <c r="BP86" i="46"/>
  <c r="BP75" i="46"/>
  <c r="BN98" i="46"/>
  <c r="BO73" i="46"/>
  <c r="BO86" i="46"/>
  <c r="BN101" i="46"/>
  <c r="BL101" i="46"/>
  <c r="BO83" i="46"/>
  <c r="BO60" i="46"/>
  <c r="BN60" i="46"/>
  <c r="BQ72" i="46"/>
  <c r="BQ101" i="46"/>
  <c r="BQ99" i="46"/>
  <c r="BP99" i="46"/>
  <c r="BQ109" i="46"/>
  <c r="I36" i="29" s="1"/>
  <c r="BN109" i="46"/>
  <c r="F36" i="29" s="1"/>
  <c r="BP71" i="46"/>
  <c r="BL99" i="46"/>
  <c r="BP83" i="46"/>
  <c r="BO75" i="46"/>
  <c r="BN99" i="46"/>
  <c r="BN73" i="46"/>
  <c r="BN75" i="46"/>
  <c r="BO98" i="46"/>
  <c r="BO71" i="46"/>
  <c r="BQ86" i="46"/>
  <c r="BO72" i="46"/>
  <c r="BN83" i="46"/>
  <c r="BN86" i="46"/>
  <c r="BL98" i="46"/>
  <c r="BO109" i="46"/>
  <c r="G36" i="29" s="1"/>
  <c r="BO101" i="46"/>
  <c r="BL71" i="46"/>
  <c r="BL60" i="46"/>
  <c r="BL76" i="46"/>
  <c r="BL73" i="46"/>
  <c r="BL75" i="46"/>
  <c r="BL86" i="46"/>
  <c r="BL72" i="46"/>
  <c r="BL109" i="46"/>
  <c r="D36" i="29" s="1"/>
  <c r="BQ24" i="29"/>
  <c r="BP24" i="29"/>
  <c r="BM12" i="29"/>
  <c r="BP12" i="29"/>
  <c r="BR24" i="29"/>
  <c r="BM24" i="29"/>
  <c r="BQ12" i="29"/>
  <c r="BN24" i="29"/>
  <c r="BO12" i="29"/>
  <c r="BN12" i="29"/>
  <c r="BR12" i="29"/>
  <c r="BO24" i="29"/>
  <c r="BQ13" i="29"/>
  <c r="BP13" i="29"/>
  <c r="BP14" i="29"/>
  <c r="BM72" i="46"/>
  <c r="BM73" i="46"/>
  <c r="BH15" i="20" l="1"/>
  <c r="BR61" i="13"/>
  <c r="BR60" i="13"/>
  <c r="BL59" i="13"/>
  <c r="BM59" i="13"/>
  <c r="BN59" i="13"/>
  <c r="BO59" i="13"/>
  <c r="BP59" i="13"/>
  <c r="BQ59" i="13"/>
  <c r="BL74" i="46"/>
  <c r="BN19" i="49"/>
  <c r="BO19" i="49"/>
  <c r="BP19" i="49"/>
  <c r="BQ19" i="49"/>
  <c r="BM10" i="49"/>
  <c r="BN10" i="49"/>
  <c r="BO10" i="49"/>
  <c r="BP10" i="49"/>
  <c r="BQ10" i="49"/>
  <c r="BC21" i="29"/>
  <c r="BC20" i="29"/>
  <c r="BP14" i="25"/>
  <c r="BJ53" i="13"/>
  <c r="BM19" i="33"/>
  <c r="BM20" i="33"/>
  <c r="BN21" i="33"/>
  <c r="BP21" i="33"/>
  <c r="BQ22" i="33"/>
  <c r="BP20" i="33"/>
  <c r="BO20" i="33"/>
  <c r="BN22" i="33"/>
  <c r="BL20" i="33"/>
  <c r="BQ19" i="33"/>
  <c r="BN19" i="33"/>
  <c r="BO22" i="33"/>
  <c r="BL22" i="33"/>
  <c r="BL21" i="33"/>
  <c r="BN20" i="33"/>
  <c r="BL19" i="33"/>
  <c r="BO21" i="33"/>
  <c r="BQ21" i="33"/>
  <c r="BO19" i="33"/>
  <c r="BP19" i="33"/>
  <c r="BQ20" i="33"/>
  <c r="BP22" i="33"/>
  <c r="BM21" i="33"/>
  <c r="H12" i="20"/>
  <c r="BK9" i="25"/>
  <c r="BK10" i="25"/>
  <c r="BK14" i="25"/>
  <c r="BK11" i="25"/>
  <c r="BL11" i="25"/>
  <c r="BL10" i="25"/>
  <c r="BL14" i="25"/>
  <c r="BN11" i="25"/>
  <c r="BN14" i="25"/>
  <c r="BO10" i="25"/>
  <c r="BO11" i="25"/>
  <c r="BP10" i="25"/>
  <c r="BP11" i="25"/>
  <c r="BL13" i="19"/>
  <c r="BM13" i="19"/>
  <c r="BL19" i="11"/>
  <c r="C14" i="20"/>
  <c r="D14" i="20"/>
  <c r="D12" i="20"/>
  <c r="E12" i="20"/>
  <c r="C12" i="20"/>
  <c r="F12" i="20"/>
  <c r="G12" i="20"/>
  <c r="BP11" i="19"/>
  <c r="BN11" i="19"/>
  <c r="BO11" i="19"/>
  <c r="BL11" i="19"/>
  <c r="BQ11" i="19"/>
  <c r="BM11" i="19"/>
  <c r="BK22" i="25"/>
  <c r="BK12" i="25"/>
  <c r="BK13" i="25"/>
  <c r="BM22" i="33"/>
  <c r="BM99" i="46"/>
  <c r="BM60" i="46"/>
  <c r="BM98" i="46"/>
  <c r="BM71" i="46"/>
  <c r="BS11" i="19" l="1"/>
  <c r="BM19" i="29"/>
  <c r="BP8" i="29"/>
  <c r="BM8" i="29"/>
  <c r="BR8" i="29"/>
  <c r="BO8" i="29"/>
  <c r="BQ8" i="29"/>
  <c r="BR59" i="13"/>
  <c r="BM100" i="46"/>
  <c r="BN100" i="46"/>
  <c r="BO100" i="46"/>
  <c r="BP100" i="46"/>
  <c r="BQ100" i="46"/>
  <c r="BN13" i="49"/>
  <c r="BO13" i="49"/>
  <c r="BP13" i="49"/>
  <c r="BQ13" i="49"/>
  <c r="BN24" i="49"/>
  <c r="BO24" i="49"/>
  <c r="BP24" i="49"/>
  <c r="BQ24" i="49"/>
  <c r="BD17" i="29"/>
  <c r="BB17" i="48"/>
  <c r="BR13" i="29"/>
  <c r="BB14" i="19"/>
  <c r="BM81" i="46"/>
  <c r="BN81" i="46"/>
  <c r="BO81" i="46"/>
  <c r="BP81" i="46"/>
  <c r="BQ81" i="46"/>
  <c r="BM80" i="46"/>
  <c r="BN80" i="46"/>
  <c r="BO80" i="46"/>
  <c r="BP80" i="46"/>
  <c r="BQ80" i="46"/>
  <c r="BM82" i="46"/>
  <c r="BN82" i="46"/>
  <c r="BO82" i="46"/>
  <c r="BP82" i="46"/>
  <c r="BQ82" i="46"/>
  <c r="BM79" i="46"/>
  <c r="BN79" i="46"/>
  <c r="BO79" i="46"/>
  <c r="BP79" i="46"/>
  <c r="BQ79" i="46"/>
  <c r="BM77" i="46"/>
  <c r="BN77" i="46"/>
  <c r="BO77" i="46"/>
  <c r="BP77" i="46"/>
  <c r="BQ77" i="46"/>
  <c r="BM76" i="46"/>
  <c r="BN76" i="46"/>
  <c r="BO76" i="46"/>
  <c r="BP76" i="46"/>
  <c r="BQ76" i="46"/>
  <c r="BM78" i="46"/>
  <c r="BN78" i="46"/>
  <c r="BO78" i="46"/>
  <c r="BP78" i="46"/>
  <c r="BQ78" i="46"/>
  <c r="BK15" i="25"/>
  <c r="BM19" i="11"/>
  <c r="BN19" i="11"/>
  <c r="BO19" i="11"/>
  <c r="BP19" i="11"/>
  <c r="BM31" i="13"/>
  <c r="BN31" i="13"/>
  <c r="BO31" i="13"/>
  <c r="BP31" i="13"/>
  <c r="BQ31" i="13"/>
  <c r="BM75" i="46"/>
  <c r="BL9" i="25"/>
  <c r="BL15" i="25" s="1"/>
  <c r="BL22" i="25"/>
  <c r="BM22" i="25"/>
  <c r="BN22" i="25"/>
  <c r="BO22" i="25"/>
  <c r="BP22" i="25"/>
  <c r="BM86" i="46"/>
  <c r="BL12" i="19" l="1"/>
  <c r="BR9" i="29"/>
  <c r="BM9" i="29"/>
  <c r="BP9" i="29"/>
  <c r="BO9" i="29"/>
  <c r="BQ9" i="29"/>
  <c r="BI15" i="20"/>
  <c r="BR22" i="25"/>
  <c r="BK14" i="29"/>
  <c r="BN26" i="49"/>
  <c r="BP26" i="49"/>
  <c r="BQ26" i="49"/>
  <c r="BD20" i="29"/>
  <c r="BD21" i="29"/>
  <c r="BM39" i="13"/>
  <c r="D8" i="41"/>
  <c r="BN9" i="29"/>
  <c r="BN8" i="29"/>
  <c r="BM9" i="25"/>
  <c r="BN9" i="25"/>
  <c r="BO9" i="25"/>
  <c r="BP9" i="25"/>
  <c r="BM101" i="46"/>
  <c r="BM32" i="13"/>
  <c r="BN32" i="13"/>
  <c r="BO32" i="13"/>
  <c r="BP32" i="13"/>
  <c r="BQ32" i="13"/>
  <c r="BM83" i="46"/>
  <c r="BN19" i="29"/>
  <c r="BM12" i="19"/>
  <c r="BR9" i="25" l="1"/>
  <c r="BQ19" i="11"/>
  <c r="BR14" i="29"/>
  <c r="BQ14" i="29"/>
  <c r="D13" i="20"/>
  <c r="C13" i="20"/>
  <c r="I8" i="41"/>
  <c r="H8" i="41"/>
  <c r="G8" i="41"/>
  <c r="F8" i="41"/>
  <c r="E8" i="41"/>
  <c r="C8" i="41"/>
  <c r="B8" i="41"/>
  <c r="BL63" i="13"/>
  <c r="BM63" i="13"/>
  <c r="BN63" i="13"/>
  <c r="BO63" i="13"/>
  <c r="BP63" i="13"/>
  <c r="BQ63" i="13"/>
  <c r="BK18" i="29"/>
  <c r="BJ13" i="19"/>
  <c r="BN11" i="49"/>
  <c r="BC14" i="19"/>
  <c r="BE17" i="29"/>
  <c r="BC17" i="48"/>
  <c r="BM50" i="13"/>
  <c r="BN50" i="13"/>
  <c r="BM36" i="13"/>
  <c r="BO19" i="29"/>
  <c r="BP19" i="29"/>
  <c r="BQ19" i="29"/>
  <c r="BR19" i="29"/>
  <c r="BP15" i="25"/>
  <c r="BN15" i="25"/>
  <c r="BN12" i="19"/>
  <c r="BO12" i="19"/>
  <c r="BP12" i="19"/>
  <c r="BQ12" i="19"/>
  <c r="BM35" i="13"/>
  <c r="BN35" i="13"/>
  <c r="BO35" i="13"/>
  <c r="BP35" i="13"/>
  <c r="BQ35" i="13"/>
  <c r="BS12" i="19" l="1"/>
  <c r="BR10" i="11"/>
  <c r="BR17" i="11"/>
  <c r="BR11" i="11"/>
  <c r="BR15" i="11"/>
  <c r="BR13" i="11"/>
  <c r="BR14" i="11"/>
  <c r="BR12" i="11"/>
  <c r="BR16" i="11"/>
  <c r="BR18" i="11"/>
  <c r="BR9" i="11"/>
  <c r="BQ14" i="20"/>
  <c r="BJ15" i="20"/>
  <c r="BR63" i="13"/>
  <c r="BM56" i="13"/>
  <c r="BN56" i="13"/>
  <c r="BO56" i="13"/>
  <c r="BP56" i="13"/>
  <c r="BQ56" i="13"/>
  <c r="BM57" i="13"/>
  <c r="BN57" i="13"/>
  <c r="BO57" i="13"/>
  <c r="BP57" i="13"/>
  <c r="BQ57" i="13"/>
  <c r="BM29" i="49"/>
  <c r="BN29" i="49"/>
  <c r="BO29" i="49"/>
  <c r="BP29" i="49"/>
  <c r="BQ29" i="49"/>
  <c r="BE20" i="29"/>
  <c r="BE21" i="29"/>
  <c r="H13" i="20"/>
  <c r="E13" i="20"/>
  <c r="F13" i="20"/>
  <c r="G13" i="20"/>
  <c r="BM51" i="13"/>
  <c r="BN51" i="13"/>
  <c r="BO51" i="13"/>
  <c r="BP51" i="13"/>
  <c r="BQ51" i="13"/>
  <c r="B10" i="41" l="1"/>
  <c r="BR56" i="13"/>
  <c r="BM62" i="13"/>
  <c r="BN62" i="13"/>
  <c r="BO62" i="13"/>
  <c r="BP62" i="13"/>
  <c r="BQ62" i="13"/>
  <c r="BM30" i="49"/>
  <c r="BN30" i="49"/>
  <c r="BO30" i="49"/>
  <c r="BP30" i="49"/>
  <c r="BQ30" i="49"/>
  <c r="BD14" i="19"/>
  <c r="BF17" i="29"/>
  <c r="BD17" i="48"/>
  <c r="BM109" i="46"/>
  <c r="E36" i="29" s="1"/>
  <c r="C36" i="29" s="1"/>
  <c r="BO13" i="29"/>
  <c r="BL13" i="25"/>
  <c r="BM13" i="25"/>
  <c r="BN13" i="25"/>
  <c r="BO13" i="25"/>
  <c r="BP13" i="25"/>
  <c r="BL12" i="25"/>
  <c r="BM12" i="25"/>
  <c r="BN12" i="25"/>
  <c r="BO12" i="25"/>
  <c r="BP12" i="25"/>
  <c r="BR12" i="25" l="1"/>
  <c r="BR13" i="25"/>
  <c r="BR57" i="13"/>
  <c r="BK15" i="20"/>
  <c r="BR62" i="13"/>
  <c r="BM64" i="13"/>
  <c r="BN64" i="13"/>
  <c r="BO64" i="13"/>
  <c r="BP64" i="13"/>
  <c r="BQ64" i="13"/>
  <c r="BF20" i="29"/>
  <c r="BF21" i="29"/>
  <c r="BN10" i="25"/>
  <c r="BN28" i="13"/>
  <c r="BP28" i="13"/>
  <c r="BQ28" i="13"/>
  <c r="BR64" i="13" l="1"/>
  <c r="BS58" i="13" s="1"/>
  <c r="C9" i="41"/>
  <c r="D9" i="41"/>
  <c r="E9" i="41"/>
  <c r="F9" i="41"/>
  <c r="G9" i="41"/>
  <c r="H9" i="41"/>
  <c r="I9" i="41"/>
  <c r="B9" i="41"/>
  <c r="BG17" i="29"/>
  <c r="BE17" i="48"/>
  <c r="BE14" i="19"/>
  <c r="BM10" i="25"/>
  <c r="BR10" i="25" s="1"/>
  <c r="BN53" i="13"/>
  <c r="BO53" i="13"/>
  <c r="BP53" i="13"/>
  <c r="BQ53" i="13"/>
  <c r="BL15" i="20" l="1"/>
  <c r="BS56" i="13"/>
  <c r="BS61" i="13"/>
  <c r="BS60" i="13"/>
  <c r="BS59" i="13"/>
  <c r="BS63" i="13"/>
  <c r="BS57" i="13"/>
  <c r="BS62" i="13"/>
  <c r="BG20" i="29"/>
  <c r="BG21" i="29"/>
  <c r="BM11" i="25"/>
  <c r="BR11" i="25" s="1"/>
  <c r="BF17" i="48" l="1"/>
  <c r="BH17" i="29"/>
  <c r="BF14" i="19"/>
  <c r="BO14" i="25"/>
  <c r="BO15" i="25" s="1"/>
  <c r="BM14" i="25"/>
  <c r="BO14" i="29"/>
  <c r="BN18" i="29"/>
  <c r="BR14" i="25" l="1"/>
  <c r="BR15" i="25" s="1"/>
  <c r="BM15" i="20"/>
  <c r="BH21" i="29"/>
  <c r="BH20" i="29"/>
  <c r="BN13" i="19"/>
  <c r="BO13" i="19"/>
  <c r="BP13" i="19"/>
  <c r="BQ13" i="19"/>
  <c r="BO18" i="29"/>
  <c r="BP18" i="29"/>
  <c r="BQ18" i="29"/>
  <c r="BR18" i="29"/>
  <c r="BM15" i="25"/>
  <c r="BS13" i="19" l="1"/>
  <c r="BG17" i="48"/>
  <c r="BI17" i="29"/>
  <c r="BG14" i="19"/>
  <c r="H14" i="20"/>
  <c r="E14" i="20"/>
  <c r="F14" i="20"/>
  <c r="G14" i="20"/>
  <c r="BN15" i="20" l="1"/>
  <c r="BI21" i="29"/>
  <c r="BI20" i="29"/>
  <c r="BJ17" i="29" l="1"/>
  <c r="BH17" i="48"/>
  <c r="BH14" i="19"/>
  <c r="BO15" i="20" l="1"/>
  <c r="BJ21" i="29"/>
  <c r="BJ20" i="29"/>
  <c r="BK17" i="29" l="1"/>
  <c r="BI17" i="48"/>
  <c r="BI14" i="19"/>
  <c r="BP15" i="20" l="1"/>
  <c r="BK20" i="29"/>
  <c r="BK21" i="29"/>
  <c r="BJ14" i="19" l="1"/>
  <c r="BJ17" i="48"/>
  <c r="BP17" i="48" s="1"/>
  <c r="BQ15" i="20" l="1"/>
  <c r="BM17" i="29" l="1"/>
  <c r="D34" i="29" l="1"/>
  <c r="BN17" i="29"/>
  <c r="BO17" i="29"/>
  <c r="BP17" i="29"/>
  <c r="BQ17" i="29"/>
  <c r="BL14" i="19" l="1"/>
  <c r="BN21" i="29"/>
  <c r="E34" i="29"/>
  <c r="BO21" i="29"/>
  <c r="F34" i="29"/>
  <c r="BP21" i="29"/>
  <c r="G34" i="29"/>
  <c r="BQ21" i="29"/>
  <c r="BN20" i="29"/>
  <c r="BO20" i="29"/>
  <c r="BP20" i="29"/>
  <c r="BQ20" i="29"/>
  <c r="BM14" i="19" l="1"/>
  <c r="BN14" i="19"/>
  <c r="BO14" i="19"/>
  <c r="BP14" i="19"/>
  <c r="C15" i="20" l="1"/>
  <c r="D15" i="20"/>
  <c r="E15" i="20"/>
  <c r="F15" i="20"/>
  <c r="G15" i="20"/>
  <c r="BR17" i="29" l="1"/>
  <c r="BR20" i="29" l="1"/>
  <c r="H34" i="29"/>
  <c r="BR21" i="29"/>
  <c r="I34" i="29"/>
  <c r="C34" i="29" l="1"/>
  <c r="BQ14" i="19"/>
  <c r="BS14" i="19" s="1"/>
  <c r="H15" i="20"/>
  <c r="G25" i="29" l="1"/>
  <c r="D25" i="29"/>
  <c r="BK17" i="25"/>
  <c r="O25" i="29"/>
  <c r="M25" i="29"/>
  <c r="I25" i="29"/>
  <c r="J25" i="29"/>
  <c r="F25" i="29"/>
  <c r="E25" i="29"/>
  <c r="N25" i="29"/>
  <c r="L25" i="29"/>
  <c r="H25" i="29"/>
  <c r="K25" i="29"/>
  <c r="B24" i="25" l="1"/>
  <c r="C8" i="19"/>
  <c r="BK23" i="25"/>
  <c r="P25" i="29"/>
  <c r="K8" i="19"/>
  <c r="J24" i="25"/>
  <c r="D8" i="19"/>
  <c r="C24" i="25"/>
  <c r="N8" i="19"/>
  <c r="M24" i="25"/>
  <c r="M8" i="19"/>
  <c r="L24" i="25"/>
  <c r="G8" i="19"/>
  <c r="F24" i="25"/>
  <c r="E8" i="19"/>
  <c r="D24" i="25"/>
  <c r="L8" i="19"/>
  <c r="K24" i="25"/>
  <c r="J8" i="19"/>
  <c r="I24" i="25"/>
  <c r="I8" i="19"/>
  <c r="H24" i="25"/>
  <c r="G24" i="25"/>
  <c r="H8" i="19"/>
  <c r="F8" i="19"/>
  <c r="E24" i="25"/>
  <c r="D29" i="29"/>
  <c r="E29" i="29" s="1"/>
  <c r="F29" i="29" s="1"/>
  <c r="G29" i="29" s="1"/>
  <c r="H29" i="29" s="1"/>
  <c r="I29" i="29" s="1"/>
  <c r="J29" i="29" s="1"/>
  <c r="K29" i="29" s="1"/>
  <c r="L29" i="29" s="1"/>
  <c r="M29" i="29" s="1"/>
  <c r="N29" i="29" s="1"/>
  <c r="O29" i="29" s="1"/>
  <c r="D30" i="29"/>
  <c r="D28" i="29" s="1"/>
  <c r="D26" i="29" s="1"/>
  <c r="C14" i="49" s="1"/>
  <c r="BM25" i="29"/>
  <c r="C26" i="48" l="1"/>
  <c r="C24" i="48" s="1"/>
  <c r="C15" i="49"/>
  <c r="BK24" i="25"/>
  <c r="P29" i="29"/>
  <c r="L9" i="20"/>
  <c r="R9" i="20"/>
  <c r="E30" i="29"/>
  <c r="P9" i="20"/>
  <c r="O8" i="19"/>
  <c r="N24" i="25"/>
  <c r="Q9" i="20"/>
  <c r="U9" i="20"/>
  <c r="M9" i="20"/>
  <c r="N9" i="20"/>
  <c r="B18" i="25"/>
  <c r="O9" i="20"/>
  <c r="T9" i="20"/>
  <c r="J9" i="20"/>
  <c r="BL8" i="19"/>
  <c r="S9" i="20"/>
  <c r="K9" i="20"/>
  <c r="C16" i="49" l="1"/>
  <c r="C10" i="19" s="1"/>
  <c r="V9" i="20"/>
  <c r="E28" i="29"/>
  <c r="E26" i="29" s="1"/>
  <c r="D14" i="49" s="1"/>
  <c r="F30" i="29"/>
  <c r="C9" i="19"/>
  <c r="B19" i="25"/>
  <c r="C9" i="20"/>
  <c r="D26" i="48" l="1"/>
  <c r="D24" i="48" s="1"/>
  <c r="D15" i="49"/>
  <c r="J11" i="20"/>
  <c r="C18" i="25"/>
  <c r="F28" i="29"/>
  <c r="F26" i="29" s="1"/>
  <c r="G30" i="29"/>
  <c r="C23" i="48"/>
  <c r="B20" i="25"/>
  <c r="J10" i="20"/>
  <c r="C15" i="19"/>
  <c r="C20" i="19" s="1"/>
  <c r="D16" i="49" l="1"/>
  <c r="D10" i="19" s="1"/>
  <c r="D18" i="25"/>
  <c r="D19" i="25" s="1"/>
  <c r="D20" i="25" s="1"/>
  <c r="E14" i="49"/>
  <c r="G28" i="29"/>
  <c r="G26" i="29" s="1"/>
  <c r="H30" i="29"/>
  <c r="J16" i="20"/>
  <c r="D9" i="19"/>
  <c r="C19" i="25"/>
  <c r="D15" i="19" l="1"/>
  <c r="D20" i="19" s="1"/>
  <c r="E9" i="19"/>
  <c r="E26" i="48"/>
  <c r="E24" i="48" s="1"/>
  <c r="E15" i="49"/>
  <c r="K11" i="20"/>
  <c r="E18" i="25"/>
  <c r="F9" i="19" s="1"/>
  <c r="F14" i="49"/>
  <c r="K10" i="20"/>
  <c r="C23" i="19"/>
  <c r="D23" i="48"/>
  <c r="E23" i="48" s="1"/>
  <c r="C20" i="25"/>
  <c r="H28" i="29"/>
  <c r="H26" i="29" s="1"/>
  <c r="G14" i="49" s="1"/>
  <c r="I30" i="29"/>
  <c r="J17" i="20"/>
  <c r="J18" i="20" s="1"/>
  <c r="J20" i="20"/>
  <c r="J23" i="20" s="1"/>
  <c r="L10" i="20" l="1"/>
  <c r="E19" i="25"/>
  <c r="E20" i="25" s="1"/>
  <c r="F26" i="48"/>
  <c r="F24" i="48" s="1"/>
  <c r="F15" i="49"/>
  <c r="F16" i="49" s="1"/>
  <c r="F10" i="19" s="1"/>
  <c r="M11" i="20" s="1"/>
  <c r="G26" i="48"/>
  <c r="G24" i="48" s="1"/>
  <c r="G15" i="49"/>
  <c r="E16" i="49"/>
  <c r="E10" i="19" s="1"/>
  <c r="E15" i="19" s="1"/>
  <c r="E20" i="19" s="1"/>
  <c r="C24" i="19"/>
  <c r="C19" i="48" s="1"/>
  <c r="C15" i="48" s="1"/>
  <c r="C9" i="48" s="1"/>
  <c r="C22" i="48"/>
  <c r="C21" i="48" s="1"/>
  <c r="C20" i="48" s="1"/>
  <c r="M10" i="20"/>
  <c r="I28" i="29"/>
  <c r="I26" i="29" s="1"/>
  <c r="J30" i="29"/>
  <c r="F18" i="25"/>
  <c r="J24" i="20"/>
  <c r="K16" i="20"/>
  <c r="F15" i="19" l="1"/>
  <c r="F20" i="19" s="1"/>
  <c r="G16" i="49"/>
  <c r="G10" i="19" s="1"/>
  <c r="N11" i="20" s="1"/>
  <c r="F23" i="48"/>
  <c r="M16" i="20"/>
  <c r="M20" i="20" s="1"/>
  <c r="M23" i="20" s="1"/>
  <c r="L11" i="20"/>
  <c r="G18" i="25"/>
  <c r="G19" i="25" s="1"/>
  <c r="G20" i="25" s="1"/>
  <c r="H14" i="49"/>
  <c r="D22" i="19"/>
  <c r="D23" i="19" s="1"/>
  <c r="C28" i="48"/>
  <c r="J28" i="29"/>
  <c r="J26" i="29" s="1"/>
  <c r="K30" i="29"/>
  <c r="G9" i="19"/>
  <c r="G15" i="19" s="1"/>
  <c r="G20" i="19" s="1"/>
  <c r="F19" i="25"/>
  <c r="J25" i="20"/>
  <c r="K20" i="20"/>
  <c r="K23" i="20" s="1"/>
  <c r="K17" i="20"/>
  <c r="K18" i="20" s="1"/>
  <c r="G23" i="48" l="1"/>
  <c r="H23" i="48" s="1"/>
  <c r="H9" i="19"/>
  <c r="H26" i="48"/>
  <c r="H24" i="48" s="1"/>
  <c r="H15" i="49"/>
  <c r="H18" i="25"/>
  <c r="I9" i="19" s="1"/>
  <c r="I14" i="49"/>
  <c r="L16" i="20"/>
  <c r="D24" i="19"/>
  <c r="D19" i="48" s="1"/>
  <c r="D15" i="48" s="1"/>
  <c r="D9" i="48" s="1"/>
  <c r="D22" i="48"/>
  <c r="D21" i="48" s="1"/>
  <c r="D20" i="48" s="1"/>
  <c r="N10" i="20"/>
  <c r="K28" i="29"/>
  <c r="K26" i="29" s="1"/>
  <c r="L30" i="29"/>
  <c r="K24" i="20"/>
  <c r="F20" i="25"/>
  <c r="O10" i="20" l="1"/>
  <c r="I26" i="48"/>
  <c r="I24" i="48" s="1"/>
  <c r="I15" i="49"/>
  <c r="I16" i="49" s="1"/>
  <c r="I10" i="19" s="1"/>
  <c r="P11" i="20" s="1"/>
  <c r="L20" i="20"/>
  <c r="L23" i="20" s="1"/>
  <c r="L24" i="20" s="1"/>
  <c r="L17" i="20"/>
  <c r="L18" i="20" s="1"/>
  <c r="M17" i="20"/>
  <c r="M18" i="20" s="1"/>
  <c r="H19" i="25"/>
  <c r="H20" i="25" s="1"/>
  <c r="H16" i="49"/>
  <c r="H10" i="19" s="1"/>
  <c r="H15" i="19" s="1"/>
  <c r="H20" i="19" s="1"/>
  <c r="I18" i="25"/>
  <c r="I19" i="25" s="1"/>
  <c r="J14" i="49"/>
  <c r="E22" i="19"/>
  <c r="E23" i="19" s="1"/>
  <c r="D28" i="48"/>
  <c r="K25" i="20"/>
  <c r="L28" i="29"/>
  <c r="L26" i="29" s="1"/>
  <c r="M30" i="29"/>
  <c r="P10" i="20"/>
  <c r="N16" i="20"/>
  <c r="I15" i="19" l="1"/>
  <c r="I20" i="19" s="1"/>
  <c r="P16" i="20"/>
  <c r="P20" i="20" s="1"/>
  <c r="P23" i="20" s="1"/>
  <c r="J9" i="19"/>
  <c r="I23" i="48"/>
  <c r="J23" i="48" s="1"/>
  <c r="O11" i="20"/>
  <c r="J18" i="25"/>
  <c r="K9" i="19" s="1"/>
  <c r="K14" i="49"/>
  <c r="J15" i="49"/>
  <c r="J26" i="48"/>
  <c r="J24" i="48" s="1"/>
  <c r="E24" i="19"/>
  <c r="E19" i="48" s="1"/>
  <c r="E15" i="48" s="1"/>
  <c r="E9" i="48" s="1"/>
  <c r="E22" i="48"/>
  <c r="E21" i="48" s="1"/>
  <c r="E20" i="48" s="1"/>
  <c r="M24" i="20"/>
  <c r="L25" i="20"/>
  <c r="I20" i="25"/>
  <c r="N20" i="20"/>
  <c r="N23" i="20" s="1"/>
  <c r="N17" i="20"/>
  <c r="N18" i="20" s="1"/>
  <c r="M28" i="29"/>
  <c r="M26" i="29" s="1"/>
  <c r="N30" i="29"/>
  <c r="Q10" i="20" l="1"/>
  <c r="J19" i="25"/>
  <c r="J20" i="25" s="1"/>
  <c r="J16" i="49"/>
  <c r="J10" i="19" s="1"/>
  <c r="J15" i="19" s="1"/>
  <c r="J20" i="19" s="1"/>
  <c r="K15" i="49"/>
  <c r="K16" i="49" s="1"/>
  <c r="K10" i="19" s="1"/>
  <c r="R11" i="20" s="1"/>
  <c r="K26" i="48"/>
  <c r="K24" i="48" s="1"/>
  <c r="K18" i="25"/>
  <c r="L9" i="19" s="1"/>
  <c r="L14" i="49"/>
  <c r="O16" i="20"/>
  <c r="F22" i="19"/>
  <c r="F23" i="19" s="1"/>
  <c r="F24" i="19" s="1"/>
  <c r="R10" i="20"/>
  <c r="N28" i="29"/>
  <c r="N26" i="29" s="1"/>
  <c r="O30" i="29"/>
  <c r="N24" i="20"/>
  <c r="M25" i="20"/>
  <c r="E28" i="48"/>
  <c r="K15" i="19" l="1"/>
  <c r="K20" i="19" s="1"/>
  <c r="K23" i="48"/>
  <c r="K19" i="25"/>
  <c r="K20" i="25" s="1"/>
  <c r="R16" i="20"/>
  <c r="R20" i="20" s="1"/>
  <c r="R23" i="20" s="1"/>
  <c r="O20" i="20"/>
  <c r="O23" i="20" s="1"/>
  <c r="O24" i="20" s="1"/>
  <c r="P17" i="20"/>
  <c r="P18" i="20" s="1"/>
  <c r="O17" i="20"/>
  <c r="O18" i="20" s="1"/>
  <c r="L18" i="25"/>
  <c r="M9" i="19" s="1"/>
  <c r="M14" i="49"/>
  <c r="L15" i="49"/>
  <c r="L16" i="49" s="1"/>
  <c r="L10" i="19" s="1"/>
  <c r="S11" i="20" s="1"/>
  <c r="L26" i="48"/>
  <c r="L24" i="48" s="1"/>
  <c r="BL24" i="48" s="1"/>
  <c r="Q11" i="20"/>
  <c r="Q16" i="20" s="1"/>
  <c r="Q17" i="20" s="1"/>
  <c r="Q18" i="20" s="1"/>
  <c r="F22" i="48"/>
  <c r="F21" i="48" s="1"/>
  <c r="F20" i="48" s="1"/>
  <c r="S10" i="20"/>
  <c r="O28" i="29"/>
  <c r="O26" i="29" s="1"/>
  <c r="P30" i="29"/>
  <c r="P28" i="29" s="1"/>
  <c r="F19" i="48"/>
  <c r="F15" i="48" s="1"/>
  <c r="F9" i="48" s="1"/>
  <c r="G22" i="19"/>
  <c r="N25" i="20"/>
  <c r="L15" i="19" l="1"/>
  <c r="L20" i="19" s="1"/>
  <c r="L23" i="48"/>
  <c r="M15" i="49"/>
  <c r="M26" i="48"/>
  <c r="M24" i="48" s="1"/>
  <c r="M18" i="25"/>
  <c r="N9" i="19" s="1"/>
  <c r="N14" i="49"/>
  <c r="R17" i="20"/>
  <c r="R18" i="20" s="1"/>
  <c r="Q20" i="20"/>
  <c r="Q23" i="20" s="1"/>
  <c r="L19" i="25"/>
  <c r="L20" i="25" s="1"/>
  <c r="BL10" i="19"/>
  <c r="P26" i="29"/>
  <c r="F28" i="48"/>
  <c r="G23" i="19"/>
  <c r="G24" i="19" s="1"/>
  <c r="T10" i="20"/>
  <c r="P24" i="20"/>
  <c r="O25" i="20"/>
  <c r="S16" i="20"/>
  <c r="N15" i="49" l="1"/>
  <c r="N16" i="49" s="1"/>
  <c r="N10" i="19" s="1"/>
  <c r="U11" i="20" s="1"/>
  <c r="N26" i="48"/>
  <c r="M23" i="48"/>
  <c r="N18" i="25"/>
  <c r="O9" i="19" s="1"/>
  <c r="O14" i="49"/>
  <c r="M19" i="25"/>
  <c r="M20" i="25" s="1"/>
  <c r="M16" i="49"/>
  <c r="M10" i="19" s="1"/>
  <c r="M15" i="19" s="1"/>
  <c r="M20" i="19" s="1"/>
  <c r="G22" i="48"/>
  <c r="G21" i="48" s="1"/>
  <c r="G20" i="48" s="1"/>
  <c r="G19" i="48"/>
  <c r="G15" i="48" s="1"/>
  <c r="G9" i="48" s="1"/>
  <c r="H22" i="19"/>
  <c r="U10" i="20"/>
  <c r="Q24" i="20"/>
  <c r="P25" i="20"/>
  <c r="S20" i="20"/>
  <c r="S23" i="20" s="1"/>
  <c r="S17" i="20"/>
  <c r="S18" i="20" s="1"/>
  <c r="C16" i="20"/>
  <c r="V10" i="20" l="1"/>
  <c r="N15" i="19"/>
  <c r="N20" i="19" s="1"/>
  <c r="U16" i="20"/>
  <c r="U20" i="20" s="1"/>
  <c r="U23" i="20" s="1"/>
  <c r="O15" i="49"/>
  <c r="O26" i="48"/>
  <c r="O24" i="48" s="1"/>
  <c r="N23" i="48"/>
  <c r="BL23" i="48" s="1"/>
  <c r="N19" i="25"/>
  <c r="N20" i="25" s="1"/>
  <c r="BL26" i="48"/>
  <c r="N24" i="48"/>
  <c r="T11" i="20"/>
  <c r="C10" i="20"/>
  <c r="Q25" i="20"/>
  <c r="R24" i="20"/>
  <c r="C17" i="20"/>
  <c r="C20" i="20"/>
  <c r="H23" i="19"/>
  <c r="H24" i="19" s="1"/>
  <c r="G28" i="48"/>
  <c r="O23" i="48" l="1"/>
  <c r="T16" i="20"/>
  <c r="O16" i="49"/>
  <c r="O10" i="19" s="1"/>
  <c r="O15" i="19" s="1"/>
  <c r="O20" i="19" s="1"/>
  <c r="H22" i="48"/>
  <c r="H21" i="48" s="1"/>
  <c r="H20" i="48" s="1"/>
  <c r="H19" i="48"/>
  <c r="H15" i="48" s="1"/>
  <c r="H9" i="48" s="1"/>
  <c r="I22" i="19"/>
  <c r="R25" i="20"/>
  <c r="S24" i="20"/>
  <c r="V11" i="20" l="1"/>
  <c r="T20" i="20"/>
  <c r="T23" i="20" s="1"/>
  <c r="T24" i="20" s="1"/>
  <c r="T17" i="20"/>
  <c r="T18" i="20" s="1"/>
  <c r="U17" i="20"/>
  <c r="U18" i="20" s="1"/>
  <c r="H28" i="48"/>
  <c r="I23" i="19"/>
  <c r="I24" i="19" s="1"/>
  <c r="S25" i="20"/>
  <c r="V16" i="20" l="1"/>
  <c r="I22" i="48"/>
  <c r="I21" i="48" s="1"/>
  <c r="I20" i="48" s="1"/>
  <c r="I19" i="48"/>
  <c r="I15" i="48" s="1"/>
  <c r="I9" i="48" s="1"/>
  <c r="J22" i="19"/>
  <c r="T25" i="20"/>
  <c r="U24" i="20"/>
  <c r="V20" i="20" l="1"/>
  <c r="V23" i="20" s="1"/>
  <c r="V24" i="20" s="1"/>
  <c r="V25" i="20" s="1"/>
  <c r="V17" i="20"/>
  <c r="V18" i="20" s="1"/>
  <c r="U25" i="20"/>
  <c r="J23" i="19"/>
  <c r="J24" i="19" s="1"/>
  <c r="I28" i="48"/>
  <c r="J22" i="48" l="1"/>
  <c r="J21" i="48" s="1"/>
  <c r="J20" i="48" s="1"/>
  <c r="J19" i="48"/>
  <c r="J15" i="48" s="1"/>
  <c r="J9" i="48" s="1"/>
  <c r="K22" i="19"/>
  <c r="J28" i="48" l="1"/>
  <c r="K23" i="19"/>
  <c r="K24" i="19" s="1"/>
  <c r="K22" i="48" l="1"/>
  <c r="K21" i="48" s="1"/>
  <c r="K20" i="48" s="1"/>
  <c r="L22" i="19"/>
  <c r="K19" i="48"/>
  <c r="K15" i="48" s="1"/>
  <c r="K9" i="48" s="1"/>
  <c r="K28" i="48" l="1"/>
  <c r="L23" i="19"/>
  <c r="L22" i="48" s="1"/>
  <c r="L21" i="48" l="1"/>
  <c r="L20" i="48" s="1"/>
  <c r="L24" i="19"/>
  <c r="L19" i="48" l="1"/>
  <c r="L15" i="48" s="1"/>
  <c r="L9" i="48" s="1"/>
  <c r="L28" i="48" s="1"/>
  <c r="M22" i="19"/>
  <c r="M23" i="19" l="1"/>
  <c r="M24" i="19" l="1"/>
  <c r="M19" i="48" s="1"/>
  <c r="M22" i="48"/>
  <c r="N22" i="19" l="1"/>
  <c r="N23" i="19" s="1"/>
  <c r="M21" i="48"/>
  <c r="M15" i="48"/>
  <c r="N24" i="19" l="1"/>
  <c r="O22" i="19" s="1"/>
  <c r="BL23" i="19"/>
  <c r="N22" i="48"/>
  <c r="M20" i="48"/>
  <c r="M9" i="48"/>
  <c r="N19" i="48" l="1"/>
  <c r="N15" i="48" s="1"/>
  <c r="N21" i="48"/>
  <c r="BL22" i="48"/>
  <c r="M28" i="48"/>
  <c r="BL19" i="48" l="1"/>
  <c r="N9" i="48"/>
  <c r="BL15" i="48"/>
  <c r="BL9" i="48" s="1"/>
  <c r="N20" i="48"/>
  <c r="BL21" i="48"/>
  <c r="BL20" i="48" s="1"/>
  <c r="BL28" i="48" l="1"/>
  <c r="N28" i="48"/>
  <c r="O23" i="19"/>
  <c r="O22" i="48" l="1"/>
  <c r="O21" i="48" s="1"/>
  <c r="O20" i="48" s="1"/>
  <c r="O24" i="19"/>
  <c r="O19" i="48" s="1"/>
  <c r="O15" i="48" s="1"/>
  <c r="O9" i="48" s="1"/>
  <c r="O28" i="48" l="1"/>
  <c r="P22" i="19"/>
  <c r="Q25" i="29" l="1"/>
  <c r="R25" i="29"/>
  <c r="O24" i="25" l="1"/>
  <c r="Q8" i="19"/>
  <c r="P24" i="25"/>
  <c r="Q30" i="29"/>
  <c r="Q28" i="29" s="1"/>
  <c r="Q26" i="29" s="1"/>
  <c r="P14" i="49" s="1"/>
  <c r="Q29" i="29"/>
  <c r="R29" i="29" s="1"/>
  <c r="P26" i="48" l="1"/>
  <c r="P24" i="48" s="1"/>
  <c r="P15" i="49"/>
  <c r="P8" i="19"/>
  <c r="S25" i="29"/>
  <c r="S29" i="29" s="1"/>
  <c r="X9" i="20"/>
  <c r="O18" i="25"/>
  <c r="R30" i="29"/>
  <c r="R28" i="29" s="1"/>
  <c r="R26" i="29" s="1"/>
  <c r="W9" i="20" l="1"/>
  <c r="P18" i="25"/>
  <c r="Q9" i="19" s="1"/>
  <c r="Q14" i="49"/>
  <c r="P16" i="49"/>
  <c r="P10" i="19" s="1"/>
  <c r="T25" i="29"/>
  <c r="T29" i="29" s="1"/>
  <c r="R8" i="19"/>
  <c r="Q24" i="25"/>
  <c r="P9" i="19"/>
  <c r="P15" i="19" s="1"/>
  <c r="P20" i="19" s="1"/>
  <c r="O19" i="25"/>
  <c r="S30" i="29"/>
  <c r="S28" i="29" s="1"/>
  <c r="S26" i="29" s="1"/>
  <c r="P19" i="25" l="1"/>
  <c r="P20" i="25" s="1"/>
  <c r="W11" i="20"/>
  <c r="Q26" i="48"/>
  <c r="Q24" i="48" s="1"/>
  <c r="Q15" i="49"/>
  <c r="Q18" i="25"/>
  <c r="R9" i="19" s="1"/>
  <c r="R14" i="49"/>
  <c r="R24" i="25"/>
  <c r="O20" i="25"/>
  <c r="P23" i="48"/>
  <c r="X10" i="20"/>
  <c r="T30" i="29"/>
  <c r="T28" i="29" s="1"/>
  <c r="T26" i="29" s="1"/>
  <c r="W10" i="20"/>
  <c r="Y9" i="20"/>
  <c r="V25" i="29"/>
  <c r="U25" i="29"/>
  <c r="Q23" i="48" l="1"/>
  <c r="Q19" i="25"/>
  <c r="Q20" i="25" s="1"/>
  <c r="R26" i="48"/>
  <c r="R24" i="48" s="1"/>
  <c r="R15" i="49"/>
  <c r="R16" i="49" s="1"/>
  <c r="R10" i="19" s="1"/>
  <c r="Y11" i="20" s="1"/>
  <c r="Q16" i="49"/>
  <c r="Q10" i="19" s="1"/>
  <c r="Q15" i="19" s="1"/>
  <c r="Q20" i="19" s="1"/>
  <c r="R18" i="25"/>
  <c r="S9" i="19" s="1"/>
  <c r="S14" i="49"/>
  <c r="Y10" i="20"/>
  <c r="S8" i="19"/>
  <c r="W25" i="29"/>
  <c r="W16" i="20"/>
  <c r="U30" i="29"/>
  <c r="U28" i="29" s="1"/>
  <c r="U26" i="29" s="1"/>
  <c r="U29" i="29"/>
  <c r="V29" i="29" s="1"/>
  <c r="U8" i="19"/>
  <c r="T24" i="25"/>
  <c r="T8" i="19"/>
  <c r="S24" i="25"/>
  <c r="R15" i="19" l="1"/>
  <c r="R20" i="19" s="1"/>
  <c r="R23" i="48"/>
  <c r="Y16" i="20"/>
  <c r="Y20" i="20" s="1"/>
  <c r="Y23" i="20" s="1"/>
  <c r="R19" i="25"/>
  <c r="R20" i="25" s="1"/>
  <c r="S15" i="49"/>
  <c r="S26" i="48"/>
  <c r="S24" i="48" s="1"/>
  <c r="X11" i="20"/>
  <c r="S18" i="25"/>
  <c r="S19" i="25" s="1"/>
  <c r="T14" i="49"/>
  <c r="Z9" i="20"/>
  <c r="W29" i="29"/>
  <c r="V30" i="29"/>
  <c r="P23" i="19"/>
  <c r="Z10" i="20"/>
  <c r="AB9" i="20"/>
  <c r="W20" i="20"/>
  <c r="W23" i="20" s="1"/>
  <c r="W17" i="20"/>
  <c r="AA9" i="20"/>
  <c r="S23" i="48" l="1"/>
  <c r="T23" i="48" s="1"/>
  <c r="T9" i="19"/>
  <c r="T26" i="48"/>
  <c r="T24" i="48" s="1"/>
  <c r="T15" i="49"/>
  <c r="T16" i="49" s="1"/>
  <c r="T10" i="19" s="1"/>
  <c r="AA11" i="20" s="1"/>
  <c r="X16" i="20"/>
  <c r="S16" i="49"/>
  <c r="S10" i="19" s="1"/>
  <c r="S15" i="19" s="1"/>
  <c r="S20" i="19" s="1"/>
  <c r="P22" i="48"/>
  <c r="P24" i="19"/>
  <c r="Q22" i="19" s="1"/>
  <c r="V8" i="19"/>
  <c r="U24" i="25"/>
  <c r="W24" i="20"/>
  <c r="Y25" i="29"/>
  <c r="X25" i="29"/>
  <c r="V28" i="29"/>
  <c r="V26" i="29" s="1"/>
  <c r="W30" i="29"/>
  <c r="W28" i="29" s="1"/>
  <c r="S20" i="25"/>
  <c r="W18" i="20"/>
  <c r="AA10" i="20" l="1"/>
  <c r="AA16" i="20" s="1"/>
  <c r="AA20" i="20" s="1"/>
  <c r="AA23" i="20" s="1"/>
  <c r="T15" i="19"/>
  <c r="T20" i="19" s="1"/>
  <c r="X20" i="20"/>
  <c r="X23" i="20" s="1"/>
  <c r="X24" i="20" s="1"/>
  <c r="Y17" i="20"/>
  <c r="Y18" i="20" s="1"/>
  <c r="X17" i="20"/>
  <c r="X18" i="20" s="1"/>
  <c r="Z11" i="20"/>
  <c r="Z16" i="20" s="1"/>
  <c r="T18" i="25"/>
  <c r="U9" i="19" s="1"/>
  <c r="U14" i="49"/>
  <c r="P21" i="48"/>
  <c r="P20" i="48" s="1"/>
  <c r="P19" i="48"/>
  <c r="P15" i="48" s="1"/>
  <c r="P9" i="48" s="1"/>
  <c r="AC9" i="20"/>
  <c r="W26" i="29"/>
  <c r="X30" i="29"/>
  <c r="X28" i="29" s="1"/>
  <c r="X26" i="29" s="1"/>
  <c r="X29" i="29"/>
  <c r="Y29" i="29" s="1"/>
  <c r="W25" i="20"/>
  <c r="X8" i="19"/>
  <c r="W24" i="25"/>
  <c r="Q23" i="19"/>
  <c r="W8" i="19"/>
  <c r="V24" i="25"/>
  <c r="AA17" i="20" l="1"/>
  <c r="AA18" i="20" s="1"/>
  <c r="Z17" i="20"/>
  <c r="Z18" i="20" s="1"/>
  <c r="Z20" i="20"/>
  <c r="Z23" i="20" s="1"/>
  <c r="U18" i="25"/>
  <c r="V9" i="19" s="1"/>
  <c r="V14" i="49"/>
  <c r="T19" i="25"/>
  <c r="U23" i="48" s="1"/>
  <c r="V18" i="25"/>
  <c r="W9" i="19" s="1"/>
  <c r="W14" i="49"/>
  <c r="U26" i="48"/>
  <c r="U24" i="48" s="1"/>
  <c r="U15" i="49"/>
  <c r="U16" i="49" s="1"/>
  <c r="U10" i="19" s="1"/>
  <c r="AB11" i="20" s="1"/>
  <c r="P28" i="48"/>
  <c r="Q22" i="48"/>
  <c r="Q21" i="48" s="1"/>
  <c r="Q20" i="48" s="1"/>
  <c r="Q24" i="19"/>
  <c r="R22" i="19" s="1"/>
  <c r="Y30" i="29"/>
  <c r="Y28" i="29" s="1"/>
  <c r="Y26" i="29" s="1"/>
  <c r="AB10" i="20"/>
  <c r="Y24" i="20"/>
  <c r="X25" i="20"/>
  <c r="Z25" i="29"/>
  <c r="AE9" i="20"/>
  <c r="AD9" i="20"/>
  <c r="AC10" i="20" l="1"/>
  <c r="U15" i="19"/>
  <c r="U20" i="19" s="1"/>
  <c r="U19" i="25"/>
  <c r="U20" i="25" s="1"/>
  <c r="V19" i="25"/>
  <c r="V20" i="25" s="1"/>
  <c r="T20" i="25"/>
  <c r="W26" i="48"/>
  <c r="W24" i="48" s="1"/>
  <c r="W15" i="49"/>
  <c r="V15" i="49"/>
  <c r="V16" i="49" s="1"/>
  <c r="V10" i="19" s="1"/>
  <c r="V15" i="19" s="1"/>
  <c r="V20" i="19" s="1"/>
  <c r="V26" i="48"/>
  <c r="V24" i="48" s="1"/>
  <c r="W18" i="25"/>
  <c r="X9" i="19" s="1"/>
  <c r="X14" i="49"/>
  <c r="Z29" i="29"/>
  <c r="AA25" i="29"/>
  <c r="BN25" i="29" s="1"/>
  <c r="BL17" i="25"/>
  <c r="Q19" i="48"/>
  <c r="Q15" i="48" s="1"/>
  <c r="Q9" i="48" s="1"/>
  <c r="Q28" i="48" s="1"/>
  <c r="AD10" i="20"/>
  <c r="Y24" i="25"/>
  <c r="R23" i="19"/>
  <c r="AB16" i="20"/>
  <c r="Z24" i="20"/>
  <c r="Y25" i="20"/>
  <c r="Y8" i="19"/>
  <c r="X24" i="25"/>
  <c r="Z30" i="29"/>
  <c r="V23" i="48" l="1"/>
  <c r="W23" i="48" s="1"/>
  <c r="W19" i="25"/>
  <c r="W20" i="25" s="1"/>
  <c r="AC11" i="20"/>
  <c r="AC16" i="20" s="1"/>
  <c r="AC20" i="20" s="1"/>
  <c r="AC23" i="20" s="1"/>
  <c r="X26" i="48"/>
  <c r="X24" i="48" s="1"/>
  <c r="BM24" i="48" s="1"/>
  <c r="X15" i="49"/>
  <c r="X16" i="49" s="1"/>
  <c r="X10" i="19" s="1"/>
  <c r="AE11" i="20" s="1"/>
  <c r="W16" i="49"/>
  <c r="W10" i="19" s="1"/>
  <c r="W15" i="19" s="1"/>
  <c r="W20" i="19" s="1"/>
  <c r="R22" i="48"/>
  <c r="R21" i="48" s="1"/>
  <c r="R20" i="48" s="1"/>
  <c r="AA29" i="29"/>
  <c r="BL23" i="25"/>
  <c r="Z8" i="19"/>
  <c r="AC25" i="29"/>
  <c r="AB20" i="20"/>
  <c r="AB23" i="20" s="1"/>
  <c r="AB17" i="20"/>
  <c r="AF9" i="20"/>
  <c r="R24" i="19"/>
  <c r="Z28" i="29"/>
  <c r="Z26" i="29" s="1"/>
  <c r="Y14" i="49" s="1"/>
  <c r="AA30" i="29"/>
  <c r="AA28" i="29" s="1"/>
  <c r="AE10" i="20"/>
  <c r="AA24" i="20"/>
  <c r="Z25" i="20"/>
  <c r="AB25" i="29"/>
  <c r="BM8" i="19" l="1"/>
  <c r="X15" i="19"/>
  <c r="X20" i="19" s="1"/>
  <c r="AC17" i="20"/>
  <c r="AC18" i="20" s="1"/>
  <c r="X23" i="48"/>
  <c r="AD11" i="20"/>
  <c r="AD16" i="20" s="1"/>
  <c r="Y15" i="49"/>
  <c r="Y26" i="48"/>
  <c r="Y24" i="48" s="1"/>
  <c r="BL24" i="25"/>
  <c r="AG9" i="20"/>
  <c r="AA26" i="29"/>
  <c r="AE16" i="20"/>
  <c r="X18" i="25"/>
  <c r="AB18" i="20"/>
  <c r="AA8" i="19"/>
  <c r="Z24" i="25"/>
  <c r="AB30" i="29"/>
  <c r="AB29" i="29"/>
  <c r="AC29" i="29" s="1"/>
  <c r="AB24" i="20"/>
  <c r="AA25" i="20"/>
  <c r="S22" i="19"/>
  <c r="R19" i="48"/>
  <c r="R15" i="48" s="1"/>
  <c r="R9" i="48" s="1"/>
  <c r="R28" i="48" s="1"/>
  <c r="Y16" i="49" l="1"/>
  <c r="Y10" i="19" s="1"/>
  <c r="Y18" i="25"/>
  <c r="Z9" i="19" s="1"/>
  <c r="Z14" i="49"/>
  <c r="AD20" i="20"/>
  <c r="AD23" i="20" s="1"/>
  <c r="AD17" i="20"/>
  <c r="AD18" i="20" s="1"/>
  <c r="AE25" i="29"/>
  <c r="AB8" i="19"/>
  <c r="AA24" i="25"/>
  <c r="Y9" i="19"/>
  <c r="X19" i="25"/>
  <c r="AD25" i="29"/>
  <c r="AD29" i="29" s="1"/>
  <c r="AB25" i="20"/>
  <c r="AC24" i="20"/>
  <c r="AH9" i="20"/>
  <c r="S23" i="19"/>
  <c r="AB28" i="29"/>
  <c r="AB26" i="29" s="1"/>
  <c r="AA14" i="49" s="1"/>
  <c r="AC30" i="29"/>
  <c r="AC28" i="29" s="1"/>
  <c r="AE20" i="20"/>
  <c r="AE23" i="20" s="1"/>
  <c r="AE17" i="20"/>
  <c r="AG10" i="20" l="1"/>
  <c r="BM9" i="19"/>
  <c r="Y15" i="19"/>
  <c r="Y20" i="19" s="1"/>
  <c r="Y19" i="25"/>
  <c r="Y20" i="25" s="1"/>
  <c r="AA26" i="48"/>
  <c r="AA24" i="48" s="1"/>
  <c r="AA15" i="49"/>
  <c r="Z26" i="48"/>
  <c r="Z15" i="49"/>
  <c r="AF11" i="20"/>
  <c r="BL19" i="25"/>
  <c r="BL20" i="25" s="1"/>
  <c r="S22" i="48"/>
  <c r="S21" i="48" s="1"/>
  <c r="S20" i="48" s="1"/>
  <c r="AI9" i="20"/>
  <c r="AE29" i="29"/>
  <c r="AC26" i="29"/>
  <c r="AC8" i="19"/>
  <c r="AB24" i="25"/>
  <c r="AD30" i="29"/>
  <c r="AC25" i="20"/>
  <c r="AD24" i="20"/>
  <c r="AE18" i="20"/>
  <c r="Z18" i="25"/>
  <c r="X20" i="25"/>
  <c r="Y23" i="48"/>
  <c r="S24" i="19"/>
  <c r="AF10" i="20"/>
  <c r="D10" i="20" s="1"/>
  <c r="Z23" i="48" l="1"/>
  <c r="BM23" i="48" s="1"/>
  <c r="BM26" i="48"/>
  <c r="Z24" i="48"/>
  <c r="AA18" i="25"/>
  <c r="AB9" i="19" s="1"/>
  <c r="AB14" i="49"/>
  <c r="Z16" i="49"/>
  <c r="Z10" i="19" s="1"/>
  <c r="Z15" i="19" s="1"/>
  <c r="Z20" i="19" s="1"/>
  <c r="AA16" i="49"/>
  <c r="AA10" i="19" s="1"/>
  <c r="AH11" i="20" s="1"/>
  <c r="BM15" i="19"/>
  <c r="AG25" i="29"/>
  <c r="AC24" i="25"/>
  <c r="AD8" i="19"/>
  <c r="AD28" i="29"/>
  <c r="AD26" i="29" s="1"/>
  <c r="AC14" i="49" s="1"/>
  <c r="AE30" i="29"/>
  <c r="AE28" i="29" s="1"/>
  <c r="AF16" i="20"/>
  <c r="D16" i="20" s="1"/>
  <c r="AE24" i="20"/>
  <c r="AD25" i="20"/>
  <c r="S19" i="48"/>
  <c r="S15" i="48" s="1"/>
  <c r="S9" i="48" s="1"/>
  <c r="S28" i="48" s="1"/>
  <c r="T22" i="19"/>
  <c r="BM20" i="19"/>
  <c r="AA9" i="19"/>
  <c r="Z19" i="25"/>
  <c r="AF25" i="29"/>
  <c r="AJ9" i="20"/>
  <c r="AI10" i="20" l="1"/>
  <c r="AA15" i="19"/>
  <c r="AA20" i="19" s="1"/>
  <c r="AA19" i="25"/>
  <c r="AA20" i="25" s="1"/>
  <c r="AG11" i="20"/>
  <c r="AB26" i="48"/>
  <c r="AB24" i="48" s="1"/>
  <c r="AB15" i="49"/>
  <c r="AC26" i="48"/>
  <c r="AC24" i="48" s="1"/>
  <c r="AC15" i="49"/>
  <c r="D20" i="20"/>
  <c r="D17" i="20"/>
  <c r="AE26" i="29"/>
  <c r="AE24" i="25"/>
  <c r="AK9" i="20"/>
  <c r="AH25" i="29"/>
  <c r="AF20" i="20"/>
  <c r="AF23" i="20" s="1"/>
  <c r="AF17" i="20"/>
  <c r="AB18" i="25"/>
  <c r="Z20" i="25"/>
  <c r="AH10" i="20"/>
  <c r="AE25" i="20"/>
  <c r="AE8" i="19"/>
  <c r="AD24" i="25"/>
  <c r="AF30" i="29"/>
  <c r="AF29" i="29"/>
  <c r="AG29" i="29" s="1"/>
  <c r="T23" i="19"/>
  <c r="AA23" i="48"/>
  <c r="AB23" i="48" l="1"/>
  <c r="AB16" i="49"/>
  <c r="AB10" i="19" s="1"/>
  <c r="AB15" i="19" s="1"/>
  <c r="AB20" i="19" s="1"/>
  <c r="AC18" i="25"/>
  <c r="AC19" i="25" s="1"/>
  <c r="AC20" i="25" s="1"/>
  <c r="AD14" i="49"/>
  <c r="AG16" i="20"/>
  <c r="AC16" i="49"/>
  <c r="AC10" i="19" s="1"/>
  <c r="AJ11" i="20" s="1"/>
  <c r="T22" i="48"/>
  <c r="T21" i="48" s="1"/>
  <c r="T20" i="48" s="1"/>
  <c r="AF24" i="20"/>
  <c r="AF25" i="20" s="1"/>
  <c r="D23" i="20"/>
  <c r="T24" i="19"/>
  <c r="U22" i="19" s="1"/>
  <c r="AF8" i="19"/>
  <c r="AH29" i="29"/>
  <c r="AC9" i="19"/>
  <c r="AC15" i="19" s="1"/>
  <c r="AC20" i="19" s="1"/>
  <c r="AB19" i="25"/>
  <c r="AF28" i="29"/>
  <c r="AF26" i="29" s="1"/>
  <c r="AE14" i="49" s="1"/>
  <c r="AG30" i="29"/>
  <c r="AG28" i="29" s="1"/>
  <c r="AH16" i="20"/>
  <c r="AF18" i="20"/>
  <c r="AL9" i="20"/>
  <c r="AG8" i="19"/>
  <c r="AF24" i="25"/>
  <c r="AI25" i="29"/>
  <c r="AM9" i="20" l="1"/>
  <c r="AD9" i="19"/>
  <c r="AG20" i="20"/>
  <c r="AG23" i="20" s="1"/>
  <c r="AG24" i="20" s="1"/>
  <c r="AG25" i="20" s="1"/>
  <c r="AG17" i="20"/>
  <c r="AG18" i="20" s="1"/>
  <c r="AD26" i="48"/>
  <c r="AD24" i="48" s="1"/>
  <c r="AD15" i="49"/>
  <c r="AE26" i="48"/>
  <c r="AE24" i="48" s="1"/>
  <c r="AE15" i="49"/>
  <c r="AI11" i="20"/>
  <c r="T19" i="48"/>
  <c r="T15" i="48" s="1"/>
  <c r="T9" i="48" s="1"/>
  <c r="T28" i="48" s="1"/>
  <c r="AH30" i="29"/>
  <c r="AH28" i="29" s="1"/>
  <c r="AH26" i="29" s="1"/>
  <c r="AD18" i="25"/>
  <c r="AB20" i="25"/>
  <c r="AJ10" i="20"/>
  <c r="AJ25" i="29"/>
  <c r="AN9" i="20"/>
  <c r="AH8" i="19"/>
  <c r="AG24" i="25"/>
  <c r="AC23" i="48"/>
  <c r="AD23" i="48" s="1"/>
  <c r="AH20" i="20"/>
  <c r="AH23" i="20" s="1"/>
  <c r="AH17" i="20"/>
  <c r="AH18" i="20" s="1"/>
  <c r="AI29" i="29"/>
  <c r="AG26" i="29"/>
  <c r="U23" i="19"/>
  <c r="AK10" i="20" l="1"/>
  <c r="AE16" i="49"/>
  <c r="AE10" i="19" s="1"/>
  <c r="AL11" i="20" s="1"/>
  <c r="AF18" i="25"/>
  <c r="AF19" i="25" s="1"/>
  <c r="AF20" i="25" s="1"/>
  <c r="AG14" i="49"/>
  <c r="AD16" i="49"/>
  <c r="AD10" i="19" s="1"/>
  <c r="AD15" i="19" s="1"/>
  <c r="AD20" i="19" s="1"/>
  <c r="AE18" i="25"/>
  <c r="AE19" i="25" s="1"/>
  <c r="AE20" i="25" s="1"/>
  <c r="AF14" i="49"/>
  <c r="AI16" i="20"/>
  <c r="U22" i="48"/>
  <c r="U21" i="48" s="1"/>
  <c r="U20" i="48" s="1"/>
  <c r="AJ29" i="29"/>
  <c r="AI30" i="29"/>
  <c r="AI28" i="29" s="1"/>
  <c r="AI26" i="29" s="1"/>
  <c r="U24" i="19"/>
  <c r="U19" i="48" s="1"/>
  <c r="U15" i="48" s="1"/>
  <c r="U9" i="48" s="1"/>
  <c r="AO9" i="20"/>
  <c r="AI8" i="19"/>
  <c r="AH24" i="25"/>
  <c r="AK25" i="29"/>
  <c r="AH24" i="20"/>
  <c r="AJ16" i="20"/>
  <c r="AE9" i="19"/>
  <c r="AD19" i="25"/>
  <c r="AE15" i="19" l="1"/>
  <c r="AE20" i="19" s="1"/>
  <c r="AG9" i="19"/>
  <c r="AF9" i="19"/>
  <c r="AI20" i="20"/>
  <c r="AI23" i="20" s="1"/>
  <c r="AI24" i="20" s="1"/>
  <c r="AI17" i="20"/>
  <c r="AI18" i="20" s="1"/>
  <c r="AF26" i="48"/>
  <c r="AF24" i="48" s="1"/>
  <c r="AF15" i="49"/>
  <c r="AK11" i="20"/>
  <c r="AG26" i="48"/>
  <c r="AG24" i="48" s="1"/>
  <c r="AG15" i="49"/>
  <c r="AG18" i="25"/>
  <c r="AH9" i="19" s="1"/>
  <c r="AH14" i="49"/>
  <c r="U28" i="48"/>
  <c r="AJ30" i="29"/>
  <c r="AJ28" i="29" s="1"/>
  <c r="AJ26" i="29" s="1"/>
  <c r="V22" i="19"/>
  <c r="V23" i="19" s="1"/>
  <c r="AP9" i="20"/>
  <c r="AH25" i="20"/>
  <c r="AD20" i="25"/>
  <c r="AL10" i="20"/>
  <c r="AK29" i="29"/>
  <c r="AE23" i="48"/>
  <c r="AF23" i="48" s="1"/>
  <c r="AG23" i="48" s="1"/>
  <c r="AJ8" i="19"/>
  <c r="AI24" i="25"/>
  <c r="AJ20" i="20"/>
  <c r="AJ23" i="20" s="1"/>
  <c r="AJ17" i="20"/>
  <c r="AJ18" i="20" s="1"/>
  <c r="AO10" i="20" l="1"/>
  <c r="AN10" i="20"/>
  <c r="AM10" i="20"/>
  <c r="AK16" i="20"/>
  <c r="AH15" i="49"/>
  <c r="AH16" i="49" s="1"/>
  <c r="AH10" i="19" s="1"/>
  <c r="AH15" i="19" s="1"/>
  <c r="AH20" i="19" s="1"/>
  <c r="AH26" i="48"/>
  <c r="AH24" i="48" s="1"/>
  <c r="AF16" i="49"/>
  <c r="AF10" i="19" s="1"/>
  <c r="AF15" i="19" s="1"/>
  <c r="AF20" i="19" s="1"/>
  <c r="AG19" i="25"/>
  <c r="AG20" i="25" s="1"/>
  <c r="AG16" i="49"/>
  <c r="AG10" i="19" s="1"/>
  <c r="AG15" i="19" s="1"/>
  <c r="AG20" i="19" s="1"/>
  <c r="AH18" i="25"/>
  <c r="AI9" i="19" s="1"/>
  <c r="AI14" i="49"/>
  <c r="V22" i="48"/>
  <c r="V21" i="48" s="1"/>
  <c r="V20" i="48" s="1"/>
  <c r="AK30" i="29"/>
  <c r="AK28" i="29" s="1"/>
  <c r="AK26" i="29" s="1"/>
  <c r="V24" i="19"/>
  <c r="V19" i="48" s="1"/>
  <c r="V15" i="48" s="1"/>
  <c r="V9" i="48" s="1"/>
  <c r="AL25" i="29"/>
  <c r="AL29" i="29" s="1"/>
  <c r="AQ9" i="20"/>
  <c r="AI25" i="20"/>
  <c r="AJ24" i="20"/>
  <c r="AL16" i="20"/>
  <c r="AP10" i="20" l="1"/>
  <c r="AH23" i="48"/>
  <c r="AI18" i="25"/>
  <c r="AJ9" i="19" s="1"/>
  <c r="AJ14" i="49"/>
  <c r="AM11" i="20"/>
  <c r="AM16" i="20" s="1"/>
  <c r="AM20" i="20" s="1"/>
  <c r="AM23" i="20" s="1"/>
  <c r="AI26" i="48"/>
  <c r="AI24" i="48" s="1"/>
  <c r="AI15" i="49"/>
  <c r="AI16" i="49" s="1"/>
  <c r="AI10" i="19" s="1"/>
  <c r="AP11" i="20" s="1"/>
  <c r="AO11" i="20"/>
  <c r="AO16" i="20" s="1"/>
  <c r="AO20" i="20" s="1"/>
  <c r="AO23" i="20" s="1"/>
  <c r="AK20" i="20"/>
  <c r="AK23" i="20" s="1"/>
  <c r="AK24" i="20" s="1"/>
  <c r="AK17" i="20"/>
  <c r="AK18" i="20" s="1"/>
  <c r="AN11" i="20"/>
  <c r="AN16" i="20" s="1"/>
  <c r="AN20" i="20" s="1"/>
  <c r="AN23" i="20" s="1"/>
  <c r="AH19" i="25"/>
  <c r="V28" i="48"/>
  <c r="AM25" i="29"/>
  <c r="AM29" i="29" s="1"/>
  <c r="AK24" i="25"/>
  <c r="AL8" i="19"/>
  <c r="W22" i="19"/>
  <c r="W23" i="19" s="1"/>
  <c r="AJ25" i="20"/>
  <c r="AK8" i="19"/>
  <c r="AJ24" i="25"/>
  <c r="AL30" i="29"/>
  <c r="AL20" i="20"/>
  <c r="AL23" i="20" s="1"/>
  <c r="AL17" i="20"/>
  <c r="AL18" i="20" s="1"/>
  <c r="AP16" i="20" l="1"/>
  <c r="AP20" i="20" s="1"/>
  <c r="AP23" i="20" s="1"/>
  <c r="AI15" i="19"/>
  <c r="AI20" i="19" s="1"/>
  <c r="AI19" i="25"/>
  <c r="AI20" i="25" s="1"/>
  <c r="AI23" i="48"/>
  <c r="AH20" i="25"/>
  <c r="AJ15" i="49"/>
  <c r="AJ16" i="49" s="1"/>
  <c r="AJ10" i="19" s="1"/>
  <c r="AQ11" i="20" s="1"/>
  <c r="AJ26" i="48"/>
  <c r="AJ24" i="48" s="1"/>
  <c r="AO17" i="20"/>
  <c r="AO18" i="20" s="1"/>
  <c r="AN17" i="20"/>
  <c r="AN18" i="20" s="1"/>
  <c r="AM17" i="20"/>
  <c r="AM18" i="20" s="1"/>
  <c r="W22" i="48"/>
  <c r="W21" i="48" s="1"/>
  <c r="AS9" i="20"/>
  <c r="W24" i="19"/>
  <c r="X22" i="19" s="1"/>
  <c r="AN25" i="29"/>
  <c r="AR9" i="20"/>
  <c r="AL24" i="20"/>
  <c r="AK25" i="20"/>
  <c r="AL28" i="29"/>
  <c r="AL26" i="29" s="1"/>
  <c r="AK14" i="49" s="1"/>
  <c r="AM30" i="29"/>
  <c r="AM28" i="29" s="1"/>
  <c r="AQ10" i="20"/>
  <c r="AP17" i="20" l="1"/>
  <c r="AP18" i="20" s="1"/>
  <c r="AJ15" i="19"/>
  <c r="AJ20" i="19" s="1"/>
  <c r="AJ23" i="48"/>
  <c r="AK26" i="48"/>
  <c r="AK24" i="48" s="1"/>
  <c r="AK15" i="49"/>
  <c r="AO25" i="29"/>
  <c r="AM26" i="29"/>
  <c r="AM24" i="25"/>
  <c r="AN8" i="19"/>
  <c r="W19" i="48"/>
  <c r="AM8" i="19"/>
  <c r="AL24" i="25"/>
  <c r="AQ16" i="20"/>
  <c r="W20" i="48"/>
  <c r="AN30" i="29"/>
  <c r="AN29" i="29"/>
  <c r="AL25" i="20"/>
  <c r="AM24" i="20"/>
  <c r="X23" i="19"/>
  <c r="AJ18" i="25"/>
  <c r="BM18" i="25" s="1"/>
  <c r="AK18" i="25" l="1"/>
  <c r="AK19" i="25" s="1"/>
  <c r="AK20" i="25" s="1"/>
  <c r="AL14" i="49"/>
  <c r="AK16" i="49"/>
  <c r="AK10" i="19" s="1"/>
  <c r="X22" i="48"/>
  <c r="X21" i="48" s="1"/>
  <c r="X20" i="48" s="1"/>
  <c r="X24" i="19"/>
  <c r="Y22" i="19" s="1"/>
  <c r="W15" i="48"/>
  <c r="W9" i="48" s="1"/>
  <c r="W28" i="48" s="1"/>
  <c r="AU9" i="20"/>
  <c r="AO29" i="29"/>
  <c r="AQ25" i="29"/>
  <c r="AP25" i="29"/>
  <c r="AN28" i="29"/>
  <c r="AN26" i="29" s="1"/>
  <c r="AM14" i="49" s="1"/>
  <c r="AO30" i="29"/>
  <c r="AO28" i="29" s="1"/>
  <c r="AT9" i="20"/>
  <c r="AN24" i="20"/>
  <c r="AM25" i="20"/>
  <c r="AK9" i="19"/>
  <c r="AJ19" i="25"/>
  <c r="BM19" i="25" s="1"/>
  <c r="BM20" i="25" s="1"/>
  <c r="AQ20" i="20"/>
  <c r="AQ23" i="20" s="1"/>
  <c r="AQ17" i="20"/>
  <c r="AQ18" i="20" s="1"/>
  <c r="BN9" i="19" l="1"/>
  <c r="AK15" i="19"/>
  <c r="AK20" i="19" s="1"/>
  <c r="AL9" i="19"/>
  <c r="AM26" i="48"/>
  <c r="AM24" i="48" s="1"/>
  <c r="AM15" i="49"/>
  <c r="AR11" i="20"/>
  <c r="AL26" i="48"/>
  <c r="AL15" i="49"/>
  <c r="X19" i="48"/>
  <c r="X15" i="48" s="1"/>
  <c r="X9" i="48" s="1"/>
  <c r="X28" i="48" s="1"/>
  <c r="AP29" i="29"/>
  <c r="AQ29" i="29" s="1"/>
  <c r="AO26" i="29"/>
  <c r="Y23" i="19"/>
  <c r="AL18" i="25"/>
  <c r="AJ20" i="25"/>
  <c r="AK23" i="48"/>
  <c r="AL23" i="48" s="1"/>
  <c r="BN23" i="48" s="1"/>
  <c r="AR10" i="20"/>
  <c r="AO24" i="20"/>
  <c r="AN25" i="20"/>
  <c r="AO8" i="19"/>
  <c r="AN24" i="25"/>
  <c r="AP30" i="29"/>
  <c r="AS10" i="20" l="1"/>
  <c r="AL16" i="49"/>
  <c r="AL10" i="19" s="1"/>
  <c r="AL15" i="19" s="1"/>
  <c r="AL20" i="19" s="1"/>
  <c r="BN26" i="48"/>
  <c r="AL24" i="48"/>
  <c r="BN24" i="48" s="1"/>
  <c r="AM16" i="49"/>
  <c r="AM10" i="19" s="1"/>
  <c r="AT11" i="20" s="1"/>
  <c r="AM18" i="25"/>
  <c r="AM19" i="25" s="1"/>
  <c r="AM20" i="25" s="1"/>
  <c r="AN14" i="49"/>
  <c r="E10" i="20"/>
  <c r="Y22" i="48"/>
  <c r="Y21" i="48" s="1"/>
  <c r="Y20" i="48" s="1"/>
  <c r="BN15" i="19"/>
  <c r="BN20" i="19"/>
  <c r="AO24" i="25"/>
  <c r="AP8" i="19"/>
  <c r="AM9" i="19"/>
  <c r="AM15" i="19" s="1"/>
  <c r="AM20" i="19" s="1"/>
  <c r="AL19" i="25"/>
  <c r="AM23" i="48" s="1"/>
  <c r="AP28" i="29"/>
  <c r="AP26" i="29" s="1"/>
  <c r="AO14" i="49" s="1"/>
  <c r="AQ30" i="29"/>
  <c r="AQ28" i="29" s="1"/>
  <c r="AR16" i="20"/>
  <c r="E16" i="20" s="1"/>
  <c r="Y24" i="19"/>
  <c r="AO25" i="20"/>
  <c r="AP24" i="20"/>
  <c r="AV9" i="20"/>
  <c r="AR25" i="29"/>
  <c r="AN23" i="48" l="1"/>
  <c r="AO26" i="48"/>
  <c r="AO24" i="48" s="1"/>
  <c r="AO15" i="49"/>
  <c r="AN26" i="48"/>
  <c r="AN24" i="48" s="1"/>
  <c r="AN15" i="49"/>
  <c r="AN9" i="19"/>
  <c r="AS11" i="20"/>
  <c r="E17" i="20"/>
  <c r="E20" i="20"/>
  <c r="AW9" i="20"/>
  <c r="AS25" i="29"/>
  <c r="AQ26" i="29"/>
  <c r="AR8" i="19"/>
  <c r="AQ24" i="25"/>
  <c r="AT25" i="29"/>
  <c r="AR20" i="20"/>
  <c r="AR23" i="20" s="1"/>
  <c r="AR17" i="20"/>
  <c r="AR18" i="20" s="1"/>
  <c r="AN18" i="25"/>
  <c r="AQ8" i="19"/>
  <c r="AP24" i="25"/>
  <c r="AP25" i="20"/>
  <c r="AQ24" i="20"/>
  <c r="AR30" i="29"/>
  <c r="AR29" i="29"/>
  <c r="AL20" i="25"/>
  <c r="Y19" i="48"/>
  <c r="Y15" i="48" s="1"/>
  <c r="Y9" i="48" s="1"/>
  <c r="Y28" i="48" s="1"/>
  <c r="Z22" i="19"/>
  <c r="AT10" i="20"/>
  <c r="AU10" i="20" l="1"/>
  <c r="AS16" i="20"/>
  <c r="AO18" i="25"/>
  <c r="AO19" i="25" s="1"/>
  <c r="AO20" i="25" s="1"/>
  <c r="AP14" i="49"/>
  <c r="AN16" i="49"/>
  <c r="AN10" i="19" s="1"/>
  <c r="AN15" i="19" s="1"/>
  <c r="AN20" i="19" s="1"/>
  <c r="AO16" i="49"/>
  <c r="AO10" i="19" s="1"/>
  <c r="AV11" i="20" s="1"/>
  <c r="AY9" i="20"/>
  <c r="AS29" i="29"/>
  <c r="AT29" i="29" s="1"/>
  <c r="AR24" i="20"/>
  <c r="AQ25" i="20"/>
  <c r="AU25" i="29"/>
  <c r="AX9" i="20"/>
  <c r="AT16" i="20"/>
  <c r="Z23" i="19"/>
  <c r="AR28" i="29"/>
  <c r="AR26" i="29" s="1"/>
  <c r="AQ14" i="49" s="1"/>
  <c r="AS30" i="29"/>
  <c r="AS28" i="29" s="1"/>
  <c r="AO9" i="19"/>
  <c r="AN19" i="25"/>
  <c r="AS8" i="19"/>
  <c r="AR24" i="25"/>
  <c r="AO15" i="19" l="1"/>
  <c r="AO20" i="19" s="1"/>
  <c r="AP9" i="19"/>
  <c r="AU11" i="20"/>
  <c r="AP26" i="48"/>
  <c r="AP24" i="48" s="1"/>
  <c r="AP15" i="49"/>
  <c r="AQ26" i="48"/>
  <c r="AQ24" i="48" s="1"/>
  <c r="AQ15" i="49"/>
  <c r="AS20" i="20"/>
  <c r="AS23" i="20" s="1"/>
  <c r="AS24" i="20" s="1"/>
  <c r="AS17" i="20"/>
  <c r="AS18" i="20" s="1"/>
  <c r="Z22" i="48"/>
  <c r="Z24" i="19"/>
  <c r="Z19" i="48" s="1"/>
  <c r="AU29" i="29"/>
  <c r="AS26" i="29"/>
  <c r="AV25" i="29"/>
  <c r="AV10" i="20"/>
  <c r="AP18" i="25"/>
  <c r="AT30" i="29"/>
  <c r="AT28" i="29" s="1"/>
  <c r="AT26" i="29" s="1"/>
  <c r="AN20" i="25"/>
  <c r="AO23" i="48"/>
  <c r="AP23" i="48" s="1"/>
  <c r="AZ9" i="20"/>
  <c r="AS24" i="25"/>
  <c r="AT8" i="19"/>
  <c r="AT20" i="20"/>
  <c r="AT23" i="20" s="1"/>
  <c r="AT17" i="20"/>
  <c r="AT18" i="20" s="1"/>
  <c r="AR25" i="20"/>
  <c r="AW10" i="20" l="1"/>
  <c r="AQ16" i="49"/>
  <c r="AQ10" i="19" s="1"/>
  <c r="AX11" i="20" s="1"/>
  <c r="AQ18" i="25"/>
  <c r="AR9" i="19" s="1"/>
  <c r="AR14" i="49"/>
  <c r="AR18" i="25"/>
  <c r="AR19" i="25" s="1"/>
  <c r="AR20" i="25" s="1"/>
  <c r="AS14" i="49"/>
  <c r="AP16" i="49"/>
  <c r="AP10" i="19" s="1"/>
  <c r="AP15" i="19" s="1"/>
  <c r="AP20" i="19" s="1"/>
  <c r="AU16" i="20"/>
  <c r="Z21" i="48"/>
  <c r="BM22" i="48"/>
  <c r="Z15" i="48"/>
  <c r="BM19" i="48"/>
  <c r="AA22" i="19"/>
  <c r="AA23" i="19" s="1"/>
  <c r="AV29" i="29"/>
  <c r="AU30" i="29"/>
  <c r="AU28" i="29" s="1"/>
  <c r="AU26" i="29" s="1"/>
  <c r="AT24" i="20"/>
  <c r="AS25" i="20"/>
  <c r="AU8" i="19"/>
  <c r="AT24" i="25"/>
  <c r="AW25" i="29"/>
  <c r="AP19" i="25"/>
  <c r="AQ9" i="19"/>
  <c r="BA9" i="20"/>
  <c r="AV16" i="20"/>
  <c r="AQ15" i="19" l="1"/>
  <c r="AQ20" i="19" s="1"/>
  <c r="AY10" i="20"/>
  <c r="AQ19" i="25"/>
  <c r="AQ20" i="25" s="1"/>
  <c r="AS9" i="19"/>
  <c r="AW11" i="20"/>
  <c r="AS26" i="48"/>
  <c r="AS24" i="48" s="1"/>
  <c r="AS15" i="49"/>
  <c r="AR26" i="48"/>
  <c r="AR24" i="48" s="1"/>
  <c r="AR15" i="49"/>
  <c r="AS18" i="25"/>
  <c r="AT9" i="19" s="1"/>
  <c r="AT14" i="49"/>
  <c r="AU20" i="20"/>
  <c r="AU23" i="20" s="1"/>
  <c r="AU24" i="20" s="1"/>
  <c r="AU17" i="20"/>
  <c r="AU18" i="20" s="1"/>
  <c r="AA22" i="48"/>
  <c r="AA21" i="48" s="1"/>
  <c r="AA20" i="48" s="1"/>
  <c r="AW29" i="29"/>
  <c r="Z9" i="48"/>
  <c r="BM15" i="48"/>
  <c r="BM9" i="48" s="1"/>
  <c r="Z20" i="48"/>
  <c r="BM21" i="48"/>
  <c r="BM20" i="48" s="1"/>
  <c r="AA24" i="19"/>
  <c r="AA19" i="48" s="1"/>
  <c r="AA15" i="48" s="1"/>
  <c r="AA9" i="48" s="1"/>
  <c r="AV30" i="29"/>
  <c r="AV28" i="29" s="1"/>
  <c r="AV26" i="29" s="1"/>
  <c r="AP20" i="25"/>
  <c r="AV20" i="20"/>
  <c r="AV23" i="20" s="1"/>
  <c r="AV17" i="20"/>
  <c r="AV18" i="20" s="1"/>
  <c r="BB9" i="20"/>
  <c r="AT25" i="20"/>
  <c r="AV8" i="19"/>
  <c r="AU24" i="25"/>
  <c r="AX10" i="20"/>
  <c r="AQ23" i="48"/>
  <c r="AZ10" i="20" l="1"/>
  <c r="BA10" i="20"/>
  <c r="AR23" i="48"/>
  <c r="AS23" i="48" s="1"/>
  <c r="AS19" i="25"/>
  <c r="AS20" i="25" s="1"/>
  <c r="AR16" i="49"/>
  <c r="AR10" i="19" s="1"/>
  <c r="AR15" i="19" s="1"/>
  <c r="AR20" i="19" s="1"/>
  <c r="AT18" i="25"/>
  <c r="AT19" i="25" s="1"/>
  <c r="AT20" i="25" s="1"/>
  <c r="AU14" i="49"/>
  <c r="AS16" i="49"/>
  <c r="AS10" i="19" s="1"/>
  <c r="AS15" i="19" s="1"/>
  <c r="AS20" i="19" s="1"/>
  <c r="AT26" i="48"/>
  <c r="AT24" i="48" s="1"/>
  <c r="AT15" i="49"/>
  <c r="AT16" i="49" s="1"/>
  <c r="AT10" i="19" s="1"/>
  <c r="AT15" i="19" s="1"/>
  <c r="AT20" i="19" s="1"/>
  <c r="AW16" i="20"/>
  <c r="BM28" i="48"/>
  <c r="Z28" i="48"/>
  <c r="AB22" i="19"/>
  <c r="AB23" i="19" s="1"/>
  <c r="AW30" i="29"/>
  <c r="AW28" i="29" s="1"/>
  <c r="AW26" i="29" s="1"/>
  <c r="AV24" i="20"/>
  <c r="AU25" i="20"/>
  <c r="AX25" i="29"/>
  <c r="AX16" i="20"/>
  <c r="BC9" i="20"/>
  <c r="AA28" i="48"/>
  <c r="AT23" i="48" l="1"/>
  <c r="AU23" i="48" s="1"/>
  <c r="AU9" i="19"/>
  <c r="AZ11" i="20"/>
  <c r="AZ16" i="20" s="1"/>
  <c r="AZ20" i="20" s="1"/>
  <c r="AZ23" i="20" s="1"/>
  <c r="AU26" i="48"/>
  <c r="AU24" i="48" s="1"/>
  <c r="AU15" i="49"/>
  <c r="AU16" i="49" s="1"/>
  <c r="AU10" i="19" s="1"/>
  <c r="BB11" i="20" s="1"/>
  <c r="AU18" i="25"/>
  <c r="AV9" i="19" s="1"/>
  <c r="AV14" i="49"/>
  <c r="AW20" i="20"/>
  <c r="AW23" i="20" s="1"/>
  <c r="AW24" i="20" s="1"/>
  <c r="AW17" i="20"/>
  <c r="AW18" i="20" s="1"/>
  <c r="BA11" i="20"/>
  <c r="BA16" i="20" s="1"/>
  <c r="BA20" i="20" s="1"/>
  <c r="BA23" i="20" s="1"/>
  <c r="AY11" i="20"/>
  <c r="AY16" i="20" s="1"/>
  <c r="AY20" i="20" s="1"/>
  <c r="AY23" i="20" s="1"/>
  <c r="AB22" i="48"/>
  <c r="AB21" i="48" s="1"/>
  <c r="AB20" i="48" s="1"/>
  <c r="AB24" i="19"/>
  <c r="AC22" i="19" s="1"/>
  <c r="AY25" i="29"/>
  <c r="AX8" i="19"/>
  <c r="AW24" i="25"/>
  <c r="AX20" i="20"/>
  <c r="AX23" i="20" s="1"/>
  <c r="AX17" i="20"/>
  <c r="AX18" i="20" s="1"/>
  <c r="AV25" i="20"/>
  <c r="AW8" i="19"/>
  <c r="AV24" i="25"/>
  <c r="AX30" i="29"/>
  <c r="AX29" i="29"/>
  <c r="BB10" i="20" l="1"/>
  <c r="AU15" i="19"/>
  <c r="AU20" i="19" s="1"/>
  <c r="BA17" i="20"/>
  <c r="BA18" i="20" s="1"/>
  <c r="AU19" i="25"/>
  <c r="AU20" i="25" s="1"/>
  <c r="AV15" i="49"/>
  <c r="AV16" i="49" s="1"/>
  <c r="AV10" i="19" s="1"/>
  <c r="BC11" i="20" s="1"/>
  <c r="AV26" i="48"/>
  <c r="AV24" i="48" s="1"/>
  <c r="AZ17" i="20"/>
  <c r="AZ18" i="20" s="1"/>
  <c r="AY17" i="20"/>
  <c r="AY18" i="20" s="1"/>
  <c r="AB19" i="48"/>
  <c r="AB15" i="48" s="1"/>
  <c r="AB9" i="48" s="1"/>
  <c r="AB28" i="48" s="1"/>
  <c r="AY29" i="29"/>
  <c r="BE9" i="20"/>
  <c r="BB16" i="20"/>
  <c r="AW25" i="20"/>
  <c r="AX24" i="20"/>
  <c r="BD9" i="20"/>
  <c r="AX28" i="29"/>
  <c r="AX26" i="29" s="1"/>
  <c r="AW14" i="49" s="1"/>
  <c r="AY30" i="29"/>
  <c r="AY28" i="29" s="1"/>
  <c r="AZ25" i="29"/>
  <c r="BC10" i="20"/>
  <c r="AC23" i="19"/>
  <c r="AV15" i="19" l="1"/>
  <c r="AV20" i="19" s="1"/>
  <c r="AV23" i="48"/>
  <c r="AW26" i="48"/>
  <c r="AW24" i="48" s="1"/>
  <c r="AW15" i="49"/>
  <c r="AC22" i="48"/>
  <c r="AC21" i="48" s="1"/>
  <c r="AC20" i="48" s="1"/>
  <c r="BB20" i="20"/>
  <c r="BB23" i="20" s="1"/>
  <c r="BB17" i="20"/>
  <c r="BB18" i="20" s="1"/>
  <c r="BA25" i="29"/>
  <c r="AZ8" i="19"/>
  <c r="AY24" i="25"/>
  <c r="AY26" i="29"/>
  <c r="AZ30" i="29"/>
  <c r="AV18" i="25"/>
  <c r="AY24" i="20"/>
  <c r="AX25" i="20"/>
  <c r="AY8" i="19"/>
  <c r="AX24" i="25"/>
  <c r="AC24" i="19"/>
  <c r="BC16" i="20"/>
  <c r="AZ29" i="29"/>
  <c r="AW18" i="25" l="1"/>
  <c r="AX9" i="19" s="1"/>
  <c r="AX14" i="49"/>
  <c r="AW16" i="49"/>
  <c r="AW10" i="19" s="1"/>
  <c r="BA29" i="29"/>
  <c r="BG9" i="20"/>
  <c r="BC25" i="29"/>
  <c r="BF9" i="20"/>
  <c r="AW9" i="19"/>
  <c r="AV19" i="25"/>
  <c r="BC20" i="20"/>
  <c r="BC23" i="20" s="1"/>
  <c r="BC17" i="20"/>
  <c r="BC18" i="20" s="1"/>
  <c r="BB25" i="29"/>
  <c r="AD22" i="19"/>
  <c r="AC19" i="48"/>
  <c r="AC15" i="48" s="1"/>
  <c r="AC9" i="48" s="1"/>
  <c r="AC28" i="48" s="1"/>
  <c r="AZ24" i="20"/>
  <c r="AY25" i="20"/>
  <c r="AZ28" i="29"/>
  <c r="AZ26" i="29" s="1"/>
  <c r="AY14" i="49" s="1"/>
  <c r="BA30" i="29"/>
  <c r="BO9" i="19" l="1"/>
  <c r="AW15" i="19"/>
  <c r="AW20" i="19" s="1"/>
  <c r="BE10" i="20"/>
  <c r="AW19" i="25"/>
  <c r="AW20" i="25" s="1"/>
  <c r="AY26" i="48"/>
  <c r="AY24" i="48" s="1"/>
  <c r="AY15" i="49"/>
  <c r="BD11" i="20"/>
  <c r="AX26" i="48"/>
  <c r="AX15" i="49"/>
  <c r="BN19" i="25"/>
  <c r="BN20" i="25" s="1"/>
  <c r="BB29" i="29"/>
  <c r="BC29" i="29" s="1"/>
  <c r="BA24" i="25"/>
  <c r="BA28" i="29"/>
  <c r="BA26" i="29" s="1"/>
  <c r="BB30" i="29"/>
  <c r="BA8" i="19"/>
  <c r="AZ24" i="25"/>
  <c r="AV20" i="25"/>
  <c r="AW23" i="48"/>
  <c r="AX18" i="25"/>
  <c r="BD10" i="20"/>
  <c r="F10" i="20" s="1"/>
  <c r="BA24" i="20"/>
  <c r="AZ25" i="20"/>
  <c r="AD23" i="19"/>
  <c r="AX23" i="48" l="1"/>
  <c r="BO23" i="48" s="1"/>
  <c r="AX16" i="49"/>
  <c r="AX10" i="19" s="1"/>
  <c r="AX15" i="19" s="1"/>
  <c r="AX20" i="19" s="1"/>
  <c r="BO26" i="48"/>
  <c r="AX24" i="48"/>
  <c r="BO24" i="48" s="1"/>
  <c r="AY16" i="49"/>
  <c r="AY10" i="19" s="1"/>
  <c r="BF11" i="20" s="1"/>
  <c r="AY18" i="25"/>
  <c r="AY19" i="25" s="1"/>
  <c r="AY20" i="25" s="1"/>
  <c r="AZ14" i="49"/>
  <c r="AD22" i="48"/>
  <c r="AD21" i="48" s="1"/>
  <c r="AD20" i="48" s="1"/>
  <c r="BO15" i="19"/>
  <c r="BO20" i="19"/>
  <c r="BB8" i="19"/>
  <c r="BD8" i="19"/>
  <c r="BB24" i="20"/>
  <c r="BA25" i="20"/>
  <c r="AY9" i="19"/>
  <c r="AY15" i="19" s="1"/>
  <c r="AY20" i="19" s="1"/>
  <c r="AX19" i="25"/>
  <c r="AD24" i="19"/>
  <c r="BD16" i="20"/>
  <c r="F16" i="20" s="1"/>
  <c r="BH9" i="20"/>
  <c r="BB28" i="29"/>
  <c r="BB26" i="29" s="1"/>
  <c r="BA14" i="49" s="1"/>
  <c r="BC30" i="29"/>
  <c r="BD25" i="29"/>
  <c r="BD29" i="29" s="1"/>
  <c r="AZ9" i="19" l="1"/>
  <c r="AZ15" i="49"/>
  <c r="AZ26" i="48"/>
  <c r="AZ24" i="48" s="1"/>
  <c r="BA26" i="48"/>
  <c r="BA24" i="48" s="1"/>
  <c r="BA15" i="49"/>
  <c r="BE11" i="20"/>
  <c r="F20" i="20"/>
  <c r="F17" i="20"/>
  <c r="BI9" i="20"/>
  <c r="BC24" i="25"/>
  <c r="BE25" i="29"/>
  <c r="BE29" i="29" s="1"/>
  <c r="BF25" i="29"/>
  <c r="AD19" i="48"/>
  <c r="AD15" i="48" s="1"/>
  <c r="AD9" i="48" s="1"/>
  <c r="AD28" i="48" s="1"/>
  <c r="AE22" i="19"/>
  <c r="AX20" i="25"/>
  <c r="BC8" i="19"/>
  <c r="BB24" i="25"/>
  <c r="BD20" i="20"/>
  <c r="BD23" i="20" s="1"/>
  <c r="BD17" i="20"/>
  <c r="BD18" i="20" s="1"/>
  <c r="BF10" i="20"/>
  <c r="BC28" i="29"/>
  <c r="BC26" i="29" s="1"/>
  <c r="BD30" i="29"/>
  <c r="AZ18" i="25"/>
  <c r="BK9" i="20"/>
  <c r="AY23" i="48"/>
  <c r="AZ23" i="48" s="1"/>
  <c r="BB25" i="20"/>
  <c r="BC24" i="20"/>
  <c r="BG10" i="20" l="1"/>
  <c r="BA16" i="49"/>
  <c r="BA10" i="19" s="1"/>
  <c r="BH11" i="20" s="1"/>
  <c r="BE16" i="20"/>
  <c r="BA18" i="25"/>
  <c r="BB9" i="19" s="1"/>
  <c r="BB14" i="49"/>
  <c r="AZ16" i="49"/>
  <c r="AZ10" i="19" s="1"/>
  <c r="AZ15" i="19" s="1"/>
  <c r="AZ20" i="19" s="1"/>
  <c r="BF29" i="29"/>
  <c r="AE23" i="19"/>
  <c r="BJ9" i="20"/>
  <c r="BF16" i="20"/>
  <c r="BG25" i="29"/>
  <c r="BA9" i="19"/>
  <c r="BA15" i="19" s="1"/>
  <c r="BA20" i="19" s="1"/>
  <c r="AZ19" i="25"/>
  <c r="BE8" i="19"/>
  <c r="BD24" i="25"/>
  <c r="BD24" i="20"/>
  <c r="BC25" i="20"/>
  <c r="BD28" i="29"/>
  <c r="BD26" i="29" s="1"/>
  <c r="BC14" i="49" s="1"/>
  <c r="BE30" i="29"/>
  <c r="BG11" i="20" l="1"/>
  <c r="BB26" i="48"/>
  <c r="BB24" i="48" s="1"/>
  <c r="BB15" i="49"/>
  <c r="BC26" i="48"/>
  <c r="BC24" i="48" s="1"/>
  <c r="BC15" i="49"/>
  <c r="BA19" i="25"/>
  <c r="BA20" i="25" s="1"/>
  <c r="BE20" i="20"/>
  <c r="BE23" i="20" s="1"/>
  <c r="BE24" i="20" s="1"/>
  <c r="BE17" i="20"/>
  <c r="BE18" i="20" s="1"/>
  <c r="AE22" i="48"/>
  <c r="AE21" i="48" s="1"/>
  <c r="AE20" i="48" s="1"/>
  <c r="BG29" i="29"/>
  <c r="AE24" i="19"/>
  <c r="AE19" i="48" s="1"/>
  <c r="AE15" i="48" s="1"/>
  <c r="AE9" i="48" s="1"/>
  <c r="BF20" i="20"/>
  <c r="BF23" i="20" s="1"/>
  <c r="BF17" i="20"/>
  <c r="BF18" i="20" s="1"/>
  <c r="BB18" i="25"/>
  <c r="BL9" i="20"/>
  <c r="BA23" i="48"/>
  <c r="AZ20" i="25"/>
  <c r="BH10" i="20"/>
  <c r="BI10" i="20"/>
  <c r="BH25" i="29"/>
  <c r="BF8" i="19"/>
  <c r="BE24" i="25"/>
  <c r="BE28" i="29"/>
  <c r="BE26" i="29" s="1"/>
  <c r="BF30" i="29"/>
  <c r="BD25" i="20"/>
  <c r="BC16" i="49" l="1"/>
  <c r="BC10" i="19" s="1"/>
  <c r="BJ11" i="20" s="1"/>
  <c r="BB23" i="48"/>
  <c r="BB16" i="49"/>
  <c r="BB10" i="19" s="1"/>
  <c r="BB15" i="19" s="1"/>
  <c r="BB20" i="19" s="1"/>
  <c r="BC18" i="25"/>
  <c r="BD9" i="19" s="1"/>
  <c r="BD14" i="49"/>
  <c r="BG16" i="20"/>
  <c r="AE28" i="48"/>
  <c r="BH29" i="29"/>
  <c r="AF22" i="19"/>
  <c r="AF23" i="19" s="1"/>
  <c r="BI25" i="29"/>
  <c r="BM9" i="20"/>
  <c r="BH16" i="20"/>
  <c r="BC9" i="19"/>
  <c r="BB19" i="25"/>
  <c r="BF24" i="25"/>
  <c r="BG8" i="19"/>
  <c r="BF28" i="29"/>
  <c r="BF26" i="29" s="1"/>
  <c r="BG30" i="29"/>
  <c r="BE25" i="20"/>
  <c r="BF24" i="20"/>
  <c r="BC15" i="19" l="1"/>
  <c r="BC20" i="19" s="1"/>
  <c r="BC19" i="25"/>
  <c r="BC20" i="25" s="1"/>
  <c r="BG20" i="20"/>
  <c r="BG23" i="20" s="1"/>
  <c r="BG24" i="20" s="1"/>
  <c r="BG17" i="20"/>
  <c r="BG18" i="20" s="1"/>
  <c r="BD26" i="48"/>
  <c r="BD24" i="48" s="1"/>
  <c r="BD15" i="49"/>
  <c r="BD18" i="25"/>
  <c r="BE9" i="19" s="1"/>
  <c r="BE14" i="49"/>
  <c r="BI11" i="20"/>
  <c r="AF22" i="48"/>
  <c r="AF21" i="48" s="1"/>
  <c r="AF20" i="48" s="1"/>
  <c r="AF24" i="19"/>
  <c r="AG22" i="19" s="1"/>
  <c r="BN9" i="20"/>
  <c r="BC23" i="48"/>
  <c r="BB20" i="25"/>
  <c r="BH8" i="19"/>
  <c r="BG24" i="25"/>
  <c r="BJ10" i="20"/>
  <c r="BI29" i="29"/>
  <c r="BF25" i="20"/>
  <c r="BK10" i="20"/>
  <c r="BG28" i="29"/>
  <c r="BG26" i="29" s="1"/>
  <c r="BH30" i="29"/>
  <c r="BH20" i="20"/>
  <c r="BH23" i="20" s="1"/>
  <c r="BH17" i="20"/>
  <c r="BH18" i="20" s="1"/>
  <c r="BD23" i="48" l="1"/>
  <c r="BD19" i="25"/>
  <c r="BD20" i="25" s="1"/>
  <c r="BE26" i="48"/>
  <c r="BE24" i="48" s="1"/>
  <c r="BE15" i="49"/>
  <c r="BE16" i="49" s="1"/>
  <c r="BE10" i="19" s="1"/>
  <c r="BL11" i="20" s="1"/>
  <c r="BD16" i="49"/>
  <c r="BD10" i="19" s="1"/>
  <c r="BD15" i="19" s="1"/>
  <c r="BD20" i="19" s="1"/>
  <c r="BE18" i="25"/>
  <c r="BF9" i="19" s="1"/>
  <c r="BF14" i="49"/>
  <c r="BI16" i="20"/>
  <c r="BK25" i="29"/>
  <c r="AF19" i="48"/>
  <c r="AF15" i="48" s="1"/>
  <c r="AF9" i="48" s="1"/>
  <c r="AF28" i="48" s="1"/>
  <c r="BJ16" i="20"/>
  <c r="BJ25" i="29"/>
  <c r="BJ29" i="29" s="1"/>
  <c r="AG23" i="19"/>
  <c r="BM17" i="25"/>
  <c r="BN17" i="25"/>
  <c r="BO17" i="25"/>
  <c r="BH28" i="29"/>
  <c r="BH26" i="29" s="1"/>
  <c r="BI30" i="29"/>
  <c r="BH24" i="20"/>
  <c r="BG25" i="20"/>
  <c r="BO9" i="20"/>
  <c r="BL10" i="20"/>
  <c r="BE15" i="19" l="1"/>
  <c r="BE20" i="19" s="1"/>
  <c r="BL16" i="20"/>
  <c r="BL20" i="20" s="1"/>
  <c r="BL23" i="20" s="1"/>
  <c r="BE23" i="48"/>
  <c r="BE19" i="25"/>
  <c r="BE20" i="25" s="1"/>
  <c r="BI20" i="20"/>
  <c r="BI23" i="20" s="1"/>
  <c r="BI24" i="20" s="1"/>
  <c r="BI17" i="20"/>
  <c r="BI18" i="20" s="1"/>
  <c r="BF26" i="48"/>
  <c r="BF24" i="48" s="1"/>
  <c r="BF15" i="49"/>
  <c r="BF16" i="49" s="1"/>
  <c r="BF10" i="19" s="1"/>
  <c r="BM11" i="20" s="1"/>
  <c r="BF18" i="25"/>
  <c r="BF19" i="25" s="1"/>
  <c r="BG14" i="49"/>
  <c r="BK11" i="20"/>
  <c r="BK16" i="20" s="1"/>
  <c r="BK20" i="20" s="1"/>
  <c r="BK23" i="20" s="1"/>
  <c r="AG22" i="48"/>
  <c r="AG21" i="48" s="1"/>
  <c r="AG20" i="48" s="1"/>
  <c r="BP23" i="25"/>
  <c r="BP24" i="25" s="1"/>
  <c r="BP17" i="25"/>
  <c r="BR17" i="25" s="1"/>
  <c r="B11" i="41"/>
  <c r="B12" i="41" s="1"/>
  <c r="BJ20" i="20"/>
  <c r="BJ23" i="20" s="1"/>
  <c r="BJ17" i="20"/>
  <c r="BJ18" i="20" s="1"/>
  <c r="BH25" i="20"/>
  <c r="BI28" i="29"/>
  <c r="BI26" i="29" s="1"/>
  <c r="BH14" i="49" s="1"/>
  <c r="BJ30" i="29"/>
  <c r="BO25" i="29"/>
  <c r="BP25" i="29"/>
  <c r="BQ25" i="29"/>
  <c r="BM23" i="25"/>
  <c r="BN23" i="25"/>
  <c r="BN24" i="25" s="1"/>
  <c r="BO23" i="25"/>
  <c r="BO24" i="25" s="1"/>
  <c r="BK29" i="29"/>
  <c r="AG24" i="19"/>
  <c r="BH24" i="25"/>
  <c r="BI8" i="19"/>
  <c r="BR25" i="29"/>
  <c r="BM10" i="20"/>
  <c r="BF15" i="19" l="1"/>
  <c r="BF20" i="19" s="1"/>
  <c r="BR23" i="25"/>
  <c r="BR24" i="25" s="1"/>
  <c r="BF23" i="48"/>
  <c r="BG23" i="48" s="1"/>
  <c r="BM16" i="20"/>
  <c r="BM20" i="20" s="1"/>
  <c r="BM23" i="20" s="1"/>
  <c r="BL17" i="20"/>
  <c r="BL18" i="20" s="1"/>
  <c r="BG9" i="19"/>
  <c r="BG26" i="48"/>
  <c r="BG24" i="48" s="1"/>
  <c r="BG15" i="49"/>
  <c r="BG16" i="49" s="1"/>
  <c r="BG10" i="19" s="1"/>
  <c r="BN11" i="20" s="1"/>
  <c r="BH26" i="48"/>
  <c r="BH24" i="48" s="1"/>
  <c r="BH15" i="49"/>
  <c r="BK17" i="20"/>
  <c r="BK18" i="20" s="1"/>
  <c r="BI24" i="25"/>
  <c r="BJ8" i="19"/>
  <c r="C10" i="41"/>
  <c r="C11" i="41" s="1"/>
  <c r="C12" i="41" s="1"/>
  <c r="BP9" i="20"/>
  <c r="BJ24" i="20"/>
  <c r="BI25" i="20"/>
  <c r="BM24" i="25"/>
  <c r="BN8" i="19"/>
  <c r="BO8" i="19"/>
  <c r="BP8" i="19"/>
  <c r="AG19" i="48"/>
  <c r="AG15" i="48" s="1"/>
  <c r="AG9" i="48" s="1"/>
  <c r="AG28" i="48" s="1"/>
  <c r="AH22" i="19"/>
  <c r="BJ28" i="29"/>
  <c r="BJ26" i="29" s="1"/>
  <c r="BK30" i="29"/>
  <c r="BF20" i="25"/>
  <c r="BG18" i="25"/>
  <c r="BQ9" i="20" l="1"/>
  <c r="BN10" i="20"/>
  <c r="BN16" i="20" s="1"/>
  <c r="BN20" i="20" s="1"/>
  <c r="BN23" i="20" s="1"/>
  <c r="BG15" i="19"/>
  <c r="BG20" i="19" s="1"/>
  <c r="BH16" i="49"/>
  <c r="BH10" i="19" s="1"/>
  <c r="BO11" i="20" s="1"/>
  <c r="BM17" i="20"/>
  <c r="BM18" i="20" s="1"/>
  <c r="BH18" i="25"/>
  <c r="BI9" i="19" s="1"/>
  <c r="BI14" i="49"/>
  <c r="BQ8" i="19"/>
  <c r="BS8" i="19" s="1"/>
  <c r="D10" i="41"/>
  <c r="E10" i="41" s="1"/>
  <c r="BK24" i="20"/>
  <c r="BJ25" i="20"/>
  <c r="BK28" i="29"/>
  <c r="BK26" i="29" s="1"/>
  <c r="BJ14" i="49" s="1"/>
  <c r="H9" i="20"/>
  <c r="AH23" i="19"/>
  <c r="D9" i="20"/>
  <c r="E9" i="20"/>
  <c r="F9" i="20"/>
  <c r="G9" i="20"/>
  <c r="BH9" i="19"/>
  <c r="BG19" i="25"/>
  <c r="BH15" i="19" l="1"/>
  <c r="BH20" i="19" s="1"/>
  <c r="BN17" i="20"/>
  <c r="BN18" i="20" s="1"/>
  <c r="BH19" i="25"/>
  <c r="BH20" i="25" s="1"/>
  <c r="BJ26" i="48"/>
  <c r="BJ15" i="49"/>
  <c r="BL14" i="49"/>
  <c r="BM14" i="49"/>
  <c r="BN14" i="49"/>
  <c r="BO14" i="49"/>
  <c r="BP14" i="49"/>
  <c r="BI15" i="49"/>
  <c r="BI26" i="48"/>
  <c r="BI24" i="48" s="1"/>
  <c r="BQ14" i="49"/>
  <c r="AH22" i="48"/>
  <c r="AH21" i="48" s="1"/>
  <c r="AH20" i="48" s="1"/>
  <c r="D11" i="41"/>
  <c r="D12" i="41" s="1"/>
  <c r="BG20" i="25"/>
  <c r="F10" i="41"/>
  <c r="E11" i="41"/>
  <c r="E12" i="41" s="1"/>
  <c r="BL24" i="20"/>
  <c r="BK25" i="20"/>
  <c r="BP10" i="20"/>
  <c r="BH23" i="48"/>
  <c r="BI18" i="25"/>
  <c r="BO10" i="20"/>
  <c r="AH24" i="19"/>
  <c r="BI23" i="48" l="1"/>
  <c r="BI16" i="49"/>
  <c r="BI10" i="19" s="1"/>
  <c r="BI15" i="19" s="1"/>
  <c r="BI20" i="19" s="1"/>
  <c r="BQ15" i="49"/>
  <c r="BJ16" i="49"/>
  <c r="BJ10" i="19" s="1"/>
  <c r="BL15" i="49"/>
  <c r="BL16" i="49" s="1"/>
  <c r="BM15" i="49"/>
  <c r="BN15" i="49"/>
  <c r="BO15" i="49"/>
  <c r="BP15" i="49"/>
  <c r="BP26" i="48"/>
  <c r="BJ24" i="48"/>
  <c r="BP24" i="48" s="1"/>
  <c r="BO16" i="20"/>
  <c r="BM24" i="20"/>
  <c r="BL25" i="20"/>
  <c r="F11" i="41"/>
  <c r="F12" i="41" s="1"/>
  <c r="G10" i="41"/>
  <c r="AH19" i="48"/>
  <c r="AH15" i="48" s="1"/>
  <c r="AH9" i="48" s="1"/>
  <c r="AH28" i="48" s="1"/>
  <c r="AI22" i="19"/>
  <c r="BJ9" i="19"/>
  <c r="BI19" i="25"/>
  <c r="BJ15" i="19" l="1"/>
  <c r="BJ20" i="19" s="1"/>
  <c r="BJ23" i="48"/>
  <c r="BP23" i="48" s="1"/>
  <c r="BO16" i="49"/>
  <c r="BN16" i="49"/>
  <c r="BP16" i="49"/>
  <c r="BM16" i="49"/>
  <c r="BQ11" i="20"/>
  <c r="BM10" i="19"/>
  <c r="BN10" i="19"/>
  <c r="BO10" i="19"/>
  <c r="BP10" i="19"/>
  <c r="BQ16" i="49"/>
  <c r="BP11" i="20"/>
  <c r="BQ10" i="19"/>
  <c r="AI23" i="19"/>
  <c r="BM25" i="20"/>
  <c r="BN24" i="20"/>
  <c r="BQ10" i="20"/>
  <c r="G11" i="41"/>
  <c r="G12" i="41" s="1"/>
  <c r="H10" i="41"/>
  <c r="BO20" i="20"/>
  <c r="BO23" i="20" s="1"/>
  <c r="BO17" i="20"/>
  <c r="BO18" i="20" s="1"/>
  <c r="BI20" i="25"/>
  <c r="BS10" i="19" l="1"/>
  <c r="C11" i="20"/>
  <c r="D11" i="20"/>
  <c r="E11" i="20"/>
  <c r="F11" i="20"/>
  <c r="G11" i="20"/>
  <c r="H11" i="20"/>
  <c r="BP16" i="20"/>
  <c r="AI22" i="48"/>
  <c r="AI21" i="48" s="1"/>
  <c r="AI24" i="19"/>
  <c r="AI19" i="48" s="1"/>
  <c r="BO24" i="20"/>
  <c r="BN25" i="20"/>
  <c r="I10" i="41"/>
  <c r="I11" i="41" s="1"/>
  <c r="I12" i="41" s="1"/>
  <c r="H11" i="41"/>
  <c r="H12" i="41" s="1"/>
  <c r="BQ16" i="20"/>
  <c r="BP20" i="20" l="1"/>
  <c r="BP23" i="20" s="1"/>
  <c r="BP24" i="20" s="1"/>
  <c r="BP17" i="20"/>
  <c r="BP18" i="20" s="1"/>
  <c r="AJ22" i="19"/>
  <c r="AJ23" i="19" s="1"/>
  <c r="AI20" i="48"/>
  <c r="BQ20" i="20"/>
  <c r="BQ23" i="20" s="1"/>
  <c r="BQ17" i="20"/>
  <c r="BQ18" i="20" s="1"/>
  <c r="BO25" i="20"/>
  <c r="AI15" i="48"/>
  <c r="AJ22" i="48" l="1"/>
  <c r="AJ21" i="48" s="1"/>
  <c r="AJ20" i="48" s="1"/>
  <c r="AJ24" i="19"/>
  <c r="AJ19" i="48" s="1"/>
  <c r="AJ15" i="48" s="1"/>
  <c r="AJ9" i="48" s="1"/>
  <c r="AI9" i="48"/>
  <c r="AI28" i="48" s="1"/>
  <c r="BQ24" i="20"/>
  <c r="BP25" i="20"/>
  <c r="AK22" i="19" l="1"/>
  <c r="AK23" i="19" s="1"/>
  <c r="BQ25" i="20"/>
  <c r="AJ28" i="48"/>
  <c r="AK22" i="48" l="1"/>
  <c r="AK21" i="48" s="1"/>
  <c r="AK20" i="48" s="1"/>
  <c r="AK24" i="19"/>
  <c r="AK19" i="48" l="1"/>
  <c r="AK15" i="48" s="1"/>
  <c r="AK9" i="48" s="1"/>
  <c r="AK28" i="48" s="1"/>
  <c r="AL22" i="19"/>
  <c r="AL23" i="19" l="1"/>
  <c r="AL22" i="48" l="1"/>
  <c r="AL24" i="19"/>
  <c r="AM22" i="19" s="1"/>
  <c r="AL21" i="48" l="1"/>
  <c r="BN22" i="48"/>
  <c r="AL19" i="48"/>
  <c r="AM23" i="19"/>
  <c r="AM22" i="48" l="1"/>
  <c r="AM21" i="48" s="1"/>
  <c r="AM20" i="48" s="1"/>
  <c r="AL15" i="48"/>
  <c r="BN19" i="48"/>
  <c r="AL20" i="48"/>
  <c r="BN21" i="48"/>
  <c r="BN20" i="48" s="1"/>
  <c r="AM24" i="19"/>
  <c r="AM19" i="48" s="1"/>
  <c r="AM15" i="48" s="1"/>
  <c r="AM9" i="48" s="1"/>
  <c r="AL9" i="48" l="1"/>
  <c r="AL28" i="48" s="1"/>
  <c r="BN15" i="48"/>
  <c r="BN9" i="48" s="1"/>
  <c r="BN28" i="48" s="1"/>
  <c r="AN22" i="19"/>
  <c r="AN23" i="19" s="1"/>
  <c r="BQ9" i="19"/>
  <c r="AM28" i="48"/>
  <c r="AN22" i="48" l="1"/>
  <c r="AN21" i="48" s="1"/>
  <c r="AN20" i="48" s="1"/>
  <c r="BP19" i="25"/>
  <c r="BP20" i="25" s="1"/>
  <c r="AN24" i="19"/>
  <c r="AO22" i="19" s="1"/>
  <c r="H10" i="20"/>
  <c r="BQ15" i="19"/>
  <c r="AN19" i="48" l="1"/>
  <c r="AN15" i="48" s="1"/>
  <c r="AN9" i="48" s="1"/>
  <c r="AN28" i="48" s="1"/>
  <c r="BQ20" i="19"/>
  <c r="H16" i="20"/>
  <c r="H20" i="20" s="1"/>
  <c r="AO23" i="19"/>
  <c r="AO22" i="48" l="1"/>
  <c r="AO21" i="48" s="1"/>
  <c r="AO20" i="48" s="1"/>
  <c r="AO24" i="19"/>
  <c r="AP22" i="19" s="1"/>
  <c r="AO19" i="48" l="1"/>
  <c r="AO15" i="48" s="1"/>
  <c r="AO9" i="48" s="1"/>
  <c r="AO28" i="48" s="1"/>
  <c r="AP23" i="19"/>
  <c r="AP22" i="48" l="1"/>
  <c r="AP21" i="48" s="1"/>
  <c r="AP20" i="48" s="1"/>
  <c r="AP24" i="19"/>
  <c r="AQ22" i="19" l="1"/>
  <c r="AP19" i="48"/>
  <c r="AP15" i="48" s="1"/>
  <c r="AP9" i="48" s="1"/>
  <c r="AP28" i="48" s="1"/>
  <c r="AQ23" i="19" l="1"/>
  <c r="AQ22" i="48" l="1"/>
  <c r="AQ21" i="48" s="1"/>
  <c r="AQ20" i="48" s="1"/>
  <c r="AQ24" i="19"/>
  <c r="AQ19" i="48" l="1"/>
  <c r="AQ15" i="48" s="1"/>
  <c r="AQ9" i="48" s="1"/>
  <c r="AQ28" i="48" s="1"/>
  <c r="AR22" i="19"/>
  <c r="AR23" i="19" l="1"/>
  <c r="AR22" i="48" l="1"/>
  <c r="AR24" i="19"/>
  <c r="AS22" i="19" s="1"/>
  <c r="AR21" i="48" l="1"/>
  <c r="AR20" i="48" s="1"/>
  <c r="AR19" i="48"/>
  <c r="AR15" i="48" s="1"/>
  <c r="AR9" i="48" s="1"/>
  <c r="AS23" i="19"/>
  <c r="AR28" i="48" l="1"/>
  <c r="AS22" i="48"/>
  <c r="AS21" i="48" s="1"/>
  <c r="AS20" i="48" s="1"/>
  <c r="AS24" i="19"/>
  <c r="AS19" i="48" s="1"/>
  <c r="AS15" i="48" s="1"/>
  <c r="AS9" i="48" s="1"/>
  <c r="AS28" i="48" l="1"/>
  <c r="AT22" i="19"/>
  <c r="AT23" i="19" s="1"/>
  <c r="AT22" i="48" l="1"/>
  <c r="AT21" i="48" s="1"/>
  <c r="AT20" i="48" s="1"/>
  <c r="AT24" i="19"/>
  <c r="AU22" i="19" s="1"/>
  <c r="AT19" i="48" l="1"/>
  <c r="AT15" i="48" s="1"/>
  <c r="AT9" i="48" s="1"/>
  <c r="AT28" i="48" s="1"/>
  <c r="AU23" i="19"/>
  <c r="AU22" i="48" l="1"/>
  <c r="AU21" i="48" s="1"/>
  <c r="AU24" i="19"/>
  <c r="AV22" i="19" s="1"/>
  <c r="AU19" i="48" l="1"/>
  <c r="AU15" i="48" s="1"/>
  <c r="AV23" i="19"/>
  <c r="AU20" i="48"/>
  <c r="AV22" i="48" l="1"/>
  <c r="AV21" i="48" s="1"/>
  <c r="AV20" i="48" s="1"/>
  <c r="AV24" i="19"/>
  <c r="AV19" i="48" s="1"/>
  <c r="AV15" i="48" s="1"/>
  <c r="AV9" i="48" s="1"/>
  <c r="AU9" i="48"/>
  <c r="AU28" i="48" s="1"/>
  <c r="AW22" i="19" l="1"/>
  <c r="AW23" i="19" s="1"/>
  <c r="AV28" i="48"/>
  <c r="AW22" i="48" l="1"/>
  <c r="AW21" i="48" s="1"/>
  <c r="AW20" i="48" s="1"/>
  <c r="AW24" i="19"/>
  <c r="AW19" i="48" l="1"/>
  <c r="AW15" i="48" s="1"/>
  <c r="AW9" i="48" s="1"/>
  <c r="AW28" i="48" s="1"/>
  <c r="AX22" i="19"/>
  <c r="AX23" i="19" l="1"/>
  <c r="AX22" i="48" l="1"/>
  <c r="AX24" i="19"/>
  <c r="AX19" i="48" s="1"/>
  <c r="AX21" i="48" l="1"/>
  <c r="BO22" i="48"/>
  <c r="AX15" i="48"/>
  <c r="BO19" i="48"/>
  <c r="AY22" i="19"/>
  <c r="AY23" i="19" s="1"/>
  <c r="AY22" i="48" l="1"/>
  <c r="AY21" i="48" s="1"/>
  <c r="AY20" i="48" s="1"/>
  <c r="AX9" i="48"/>
  <c r="BO15" i="48"/>
  <c r="BO9" i="48" s="1"/>
  <c r="AX20" i="48"/>
  <c r="BO21" i="48"/>
  <c r="BO20" i="48" s="1"/>
  <c r="AY24" i="19"/>
  <c r="AZ22" i="19" s="1"/>
  <c r="BO28" i="48" l="1"/>
  <c r="AX28" i="48"/>
  <c r="AY19" i="48"/>
  <c r="AY15" i="48" s="1"/>
  <c r="AY9" i="48" s="1"/>
  <c r="AY28" i="48" s="1"/>
  <c r="AZ23" i="19"/>
  <c r="AZ22" i="48" l="1"/>
  <c r="AZ21" i="48" s="1"/>
  <c r="AZ20" i="48" s="1"/>
  <c r="AZ24" i="19"/>
  <c r="AZ19" i="48" s="1"/>
  <c r="AZ15" i="48" s="1"/>
  <c r="AZ9" i="48" s="1"/>
  <c r="BA22" i="19" l="1"/>
  <c r="BA23" i="19" s="1"/>
  <c r="AZ28" i="48"/>
  <c r="BA22" i="48" l="1"/>
  <c r="BA21" i="48" s="1"/>
  <c r="BA20" i="48" s="1"/>
  <c r="BA24" i="19"/>
  <c r="BB22" i="19" s="1"/>
  <c r="BA19" i="48" l="1"/>
  <c r="BA15" i="48" s="1"/>
  <c r="BA9" i="48" s="1"/>
  <c r="BA28" i="48" s="1"/>
  <c r="BB23" i="19"/>
  <c r="BB22" i="48" l="1"/>
  <c r="BB21" i="48" s="1"/>
  <c r="BB20" i="48" s="1"/>
  <c r="BB24" i="19"/>
  <c r="BB19" i="48" l="1"/>
  <c r="BB15" i="48" s="1"/>
  <c r="BB9" i="48" s="1"/>
  <c r="BB28" i="48" s="1"/>
  <c r="BC22" i="19"/>
  <c r="BC23" i="19" l="1"/>
  <c r="BC22" i="48" l="1"/>
  <c r="BC24" i="19"/>
  <c r="BC21" i="48" l="1"/>
  <c r="BC20" i="48" s="1"/>
  <c r="BC19" i="48"/>
  <c r="BC15" i="48" s="1"/>
  <c r="BC9" i="48" s="1"/>
  <c r="BD22" i="19"/>
  <c r="BC28" i="48" l="1"/>
  <c r="BD23" i="19"/>
  <c r="BD22" i="48" l="1"/>
  <c r="BD24" i="19"/>
  <c r="BE22" i="19" s="1"/>
  <c r="BD21" i="48" l="1"/>
  <c r="BD20" i="48" s="1"/>
  <c r="BD19" i="48"/>
  <c r="BD15" i="48" s="1"/>
  <c r="BD9" i="48" s="1"/>
  <c r="BE23" i="19"/>
  <c r="BD28" i="48" l="1"/>
  <c r="BE22" i="48"/>
  <c r="BE21" i="48" s="1"/>
  <c r="BE20" i="48" s="1"/>
  <c r="BL25" i="48"/>
  <c r="BM25" i="48"/>
  <c r="BN25" i="48"/>
  <c r="BO25" i="48"/>
  <c r="BP25" i="48"/>
  <c r="BE24" i="19"/>
  <c r="BF22" i="19" s="1"/>
  <c r="BE19" i="48" l="1"/>
  <c r="BE15" i="48" s="1"/>
  <c r="BE9" i="48" s="1"/>
  <c r="BE28" i="48" s="1"/>
  <c r="BF23" i="19"/>
  <c r="BF22" i="48" l="1"/>
  <c r="BF21" i="48" s="1"/>
  <c r="BF20" i="48" s="1"/>
  <c r="BF24" i="19"/>
  <c r="BG22" i="19" l="1"/>
  <c r="BF19" i="48"/>
  <c r="BF15" i="48" s="1"/>
  <c r="BF9" i="48" s="1"/>
  <c r="BF28" i="48" s="1"/>
  <c r="BG23" i="19" l="1"/>
  <c r="BG22" i="48" l="1"/>
  <c r="BG24" i="19"/>
  <c r="BH22" i="19" s="1"/>
  <c r="BG21" i="48" l="1"/>
  <c r="BG20" i="48" s="1"/>
  <c r="BG19" i="48"/>
  <c r="BG15" i="48" s="1"/>
  <c r="BN26" i="29"/>
  <c r="E35" i="29"/>
  <c r="F35" i="29"/>
  <c r="BO26" i="29"/>
  <c r="BP26" i="29"/>
  <c r="G35" i="29"/>
  <c r="H35" i="29"/>
  <c r="BQ26" i="29"/>
  <c r="BR26" i="29"/>
  <c r="I35" i="29"/>
  <c r="BH23" i="19"/>
  <c r="BH22" i="48" l="1"/>
  <c r="BH21" i="48" s="1"/>
  <c r="BH20" i="48" s="1"/>
  <c r="BM26" i="29"/>
  <c r="D35" i="29"/>
  <c r="C35" i="29" s="1"/>
  <c r="BH24" i="19"/>
  <c r="BH19" i="48" s="1"/>
  <c r="BH15" i="48" s="1"/>
  <c r="BH9" i="48" s="1"/>
  <c r="BL18" i="25"/>
  <c r="BN18" i="25"/>
  <c r="BO18" i="25"/>
  <c r="BP18" i="25"/>
  <c r="BG9" i="48"/>
  <c r="BG28" i="48" s="1"/>
  <c r="BK18" i="25" l="1"/>
  <c r="BR18" i="25" s="1"/>
  <c r="BI22" i="19"/>
  <c r="BI23" i="19" s="1"/>
  <c r="BL9" i="19"/>
  <c r="BO19" i="25"/>
  <c r="BP9" i="19"/>
  <c r="BH28" i="48"/>
  <c r="BS9" i="19" l="1"/>
  <c r="BI22" i="48"/>
  <c r="BI21" i="48" s="1"/>
  <c r="BI20" i="48" s="1"/>
  <c r="BK19" i="25"/>
  <c r="BR19" i="25" s="1"/>
  <c r="BI24" i="19"/>
  <c r="BJ22" i="19" s="1"/>
  <c r="BO20" i="25"/>
  <c r="BP15" i="19"/>
  <c r="G10" i="20"/>
  <c r="BK20" i="25" l="1"/>
  <c r="BR20" i="25"/>
  <c r="BL15" i="19"/>
  <c r="BS15" i="19" s="1"/>
  <c r="BI19" i="48"/>
  <c r="BI15" i="48" s="1"/>
  <c r="BI9" i="48" s="1"/>
  <c r="BI28" i="48" s="1"/>
  <c r="BL20" i="19"/>
  <c r="BJ23" i="19"/>
  <c r="BP20" i="19"/>
  <c r="G16" i="20"/>
  <c r="BS20" i="19" l="1"/>
  <c r="BL24" i="19"/>
  <c r="BM22" i="19" s="1"/>
  <c r="BJ22" i="48"/>
  <c r="C23" i="20"/>
  <c r="C24" i="20" s="1"/>
  <c r="D24" i="20" s="1"/>
  <c r="G20" i="20"/>
  <c r="C31" i="20"/>
  <c r="G17" i="20"/>
  <c r="H17" i="20" s="1"/>
  <c r="BJ24" i="19"/>
  <c r="E23" i="20"/>
  <c r="F23" i="20"/>
  <c r="G23" i="20"/>
  <c r="H23" i="20"/>
  <c r="C28" i="20"/>
  <c r="E24" i="20" l="1"/>
  <c r="F24" i="20" s="1"/>
  <c r="G24" i="20" s="1"/>
  <c r="H24" i="20" s="1"/>
  <c r="C29" i="20" s="1"/>
  <c r="C30" i="20" s="1"/>
  <c r="B19" i="39" s="1"/>
  <c r="C33" i="20"/>
  <c r="B13" i="39" s="1"/>
  <c r="BJ21" i="48"/>
  <c r="BP22" i="48"/>
  <c r="C32" i="20"/>
  <c r="B5" i="39" s="1"/>
  <c r="BJ19" i="48"/>
  <c r="B4" i="39"/>
  <c r="B11" i="39"/>
  <c r="B9" i="39"/>
  <c r="B2" i="39"/>
  <c r="BJ15" i="48" l="1"/>
  <c r="BP19" i="48"/>
  <c r="BJ20" i="48"/>
  <c r="BP21" i="48"/>
  <c r="BP20" i="48" s="1"/>
  <c r="B12" i="39"/>
  <c r="B6" i="39"/>
  <c r="B18" i="39"/>
  <c r="B10" i="39"/>
  <c r="B3" i="39"/>
  <c r="B17" i="39"/>
  <c r="BJ9" i="48" l="1"/>
  <c r="BJ28" i="48" s="1"/>
  <c r="BP15" i="48"/>
  <c r="BP9" i="48" s="1"/>
  <c r="BP28" i="48" s="1"/>
  <c r="BM23" i="19" l="1"/>
  <c r="BN23" i="19"/>
  <c r="BO23" i="19"/>
  <c r="BP23" i="19"/>
  <c r="BQ23" i="19"/>
  <c r="BS23" i="19" l="1"/>
  <c r="C45" i="20" s="1"/>
  <c r="BM24" i="19"/>
  <c r="BN22" i="19" s="1"/>
  <c r="BN24" i="19" s="1"/>
  <c r="BO22" i="19" s="1"/>
  <c r="BO24" i="19" s="1"/>
  <c r="BP22" i="19" s="1"/>
  <c r="BP24" i="19" s="1"/>
  <c r="BQ22" i="19" s="1"/>
  <c r="BQ24" i="19" s="1"/>
  <c r="C46" i="20" l="1"/>
  <c r="D44" i="20" s="1"/>
  <c r="D45" i="20"/>
</calcChain>
</file>

<file path=xl/sharedStrings.xml><?xml version="1.0" encoding="utf-8"?>
<sst xmlns="http://schemas.openxmlformats.org/spreadsheetml/2006/main" count="758" uniqueCount="370">
  <si>
    <t>Наименование</t>
  </si>
  <si>
    <t>Ед. изм.</t>
  </si>
  <si>
    <t>Значение</t>
  </si>
  <si>
    <t>%</t>
  </si>
  <si>
    <t>Показатель</t>
  </si>
  <si>
    <t>NPV</t>
  </si>
  <si>
    <t>Квартал (порядковый № в году)</t>
  </si>
  <si>
    <t>Год</t>
  </si>
  <si>
    <t>Месяц</t>
  </si>
  <si>
    <t>Порядковый № периода</t>
  </si>
  <si>
    <t>К-во дней в месяце</t>
  </si>
  <si>
    <t>Итого</t>
  </si>
  <si>
    <t>Денежные средства на начало периода</t>
  </si>
  <si>
    <t>Денежные средства на конец периода</t>
  </si>
  <si>
    <t>Расчетный денежный поток</t>
  </si>
  <si>
    <t>Расчет текущей стоимости денежного потока по годам</t>
  </si>
  <si>
    <t>FCFF</t>
  </si>
  <si>
    <t>Ставка дисконтирования</t>
  </si>
  <si>
    <t>DFCF</t>
  </si>
  <si>
    <t>Итоговый фактор дисконтирования</t>
  </si>
  <si>
    <t>IRR</t>
  </si>
  <si>
    <t>DFCF накопленным итогом</t>
  </si>
  <si>
    <t>Срок окупаемости</t>
  </si>
  <si>
    <t>Дисконтированный срок окупаемости</t>
  </si>
  <si>
    <t xml:space="preserve">Средства инвесторов </t>
  </si>
  <si>
    <t xml:space="preserve">Денежный поток </t>
  </si>
  <si>
    <t>К-во</t>
  </si>
  <si>
    <t>Амортизация</t>
  </si>
  <si>
    <t>График инвестирования, %</t>
  </si>
  <si>
    <t>Выручка</t>
  </si>
  <si>
    <t>Себестоимость</t>
  </si>
  <si>
    <t>Коммерческие расходы</t>
  </si>
  <si>
    <t>Административные расходы</t>
  </si>
  <si>
    <t>Чистая прибыль/Выручка,%</t>
  </si>
  <si>
    <t>EBITDA</t>
  </si>
  <si>
    <t>EBITDA/Выручка, %</t>
  </si>
  <si>
    <t>Капитальные вложения</t>
  </si>
  <si>
    <t>Численность персонала, чел.</t>
  </si>
  <si>
    <t>Итого:</t>
  </si>
  <si>
    <t>Прочие затраты</t>
  </si>
  <si>
    <t>Банковские услуги</t>
  </si>
  <si>
    <t>Описание показателя</t>
  </si>
  <si>
    <t>Источник информации</t>
  </si>
  <si>
    <t>Безрисковая ставка, (Rf), %</t>
  </si>
  <si>
    <t>Доходность по 30-летним казначейским облигациям Правительства США на дату оценки</t>
  </si>
  <si>
    <t>Премия за риск инвестирования в акционерный капитал, (Rm-Rf), %</t>
  </si>
  <si>
    <t>ERP (equity risk premium)</t>
  </si>
  <si>
    <t>Скорректированный коэффициент "бета"</t>
  </si>
  <si>
    <t>расчетно</t>
  </si>
  <si>
    <t>Ставка корпоративного налога (США), %</t>
  </si>
  <si>
    <t>http://www.andersen-bs.ru/index.php?id=98</t>
  </si>
  <si>
    <t>Коэффициент бета</t>
  </si>
  <si>
    <t>Bmu=Unlevered BETA</t>
  </si>
  <si>
    <t>http://pages.stern.nyu.edu/~adamodar/New_Home_Page/datafile/Betas.html</t>
  </si>
  <si>
    <t>D=доля заемных средств</t>
  </si>
  <si>
    <t>D/E</t>
  </si>
  <si>
    <t>E=доля собственных средств</t>
  </si>
  <si>
    <t>Премия за страновой риск (S1), %</t>
  </si>
  <si>
    <t>http://pages.stern.nyu.edu/~adamodar/New_Home_Page/datafile/ctryprem.html</t>
  </si>
  <si>
    <t>Премия за малую капитализацию (S2), %</t>
  </si>
  <si>
    <t>Премия за специфический риск (S3), %</t>
  </si>
  <si>
    <t>Дополнительный риск, связанный с инвестированием в предприятие</t>
  </si>
  <si>
    <t>Методология компании «Deloitte&amp;Touche»</t>
  </si>
  <si>
    <t>Стоимость собственного капитала, %</t>
  </si>
  <si>
    <t>Rf+Brl×(Rm-Rf)+S1+S2+S3</t>
  </si>
  <si>
    <t>Стоимость заемного капитала, %</t>
  </si>
  <si>
    <t>Ставка налога на прибыль, %</t>
  </si>
  <si>
    <t>Стоимость заемных средств (после налогов), %</t>
  </si>
  <si>
    <t>Стр. 17×(1-стр. 18)</t>
  </si>
  <si>
    <t>WACC=Dd×Wd×(1-t)+De×We</t>
  </si>
  <si>
    <t>Фактор риска</t>
  </si>
  <si>
    <t>Степень риска</t>
  </si>
  <si>
    <t>Типичный год</t>
  </si>
  <si>
    <t>Низкая</t>
  </si>
  <si>
    <t>Средняя</t>
  </si>
  <si>
    <t>Высокая</t>
  </si>
  <si>
    <t>Зависимость от ключевых сотрудников</t>
  </si>
  <si>
    <t>Корпоративное управление</t>
  </si>
  <si>
    <t>Зависимость от ключевых потребителей услуг</t>
  </si>
  <si>
    <t>Конкурентная среда</t>
  </si>
  <si>
    <t>Зависимость от ключевых поставщиков</t>
  </si>
  <si>
    <t>А. Итого (сумма)</t>
  </si>
  <si>
    <t>Б. Рассчитанная степень риска (Б=А/5)</t>
  </si>
  <si>
    <t>Рассчитанное значение</t>
  </si>
  <si>
    <t>Размер премии за специфический риск, %</t>
  </si>
  <si>
    <t>1-1,5</t>
  </si>
  <si>
    <t>0-1</t>
  </si>
  <si>
    <t>1,75-2,25</t>
  </si>
  <si>
    <t>2-3</t>
  </si>
  <si>
    <t>2,75-3</t>
  </si>
  <si>
    <t>4-5</t>
  </si>
  <si>
    <t>Оплата труда</t>
  </si>
  <si>
    <t>Налоговые отчисления на ФОТ</t>
  </si>
  <si>
    <t>НДС</t>
  </si>
  <si>
    <t>Срок полезного использования (мес.)</t>
  </si>
  <si>
    <t>Текущий налог на прибыль</t>
  </si>
  <si>
    <t>Полученный НДС от контрагентов</t>
  </si>
  <si>
    <t>Продукция</t>
  </si>
  <si>
    <t>Ставка</t>
  </si>
  <si>
    <t>Операционные затраты</t>
  </si>
  <si>
    <t xml:space="preserve">Уплаченный НДС в бюджет </t>
  </si>
  <si>
    <t>Остаток на начало НДС к возмещению</t>
  </si>
  <si>
    <t xml:space="preserve">Уплаченный НДС </t>
  </si>
  <si>
    <t xml:space="preserve">Полученный НДС </t>
  </si>
  <si>
    <t>Остаток на конец НДС к возмещению</t>
  </si>
  <si>
    <t>Итого налоговых отчислений:</t>
  </si>
  <si>
    <t xml:space="preserve">Уплаченный НДС контрагентам </t>
  </si>
  <si>
    <t>Налогообложение прибыли предприятия</t>
  </si>
  <si>
    <t>Ставка налога</t>
  </si>
  <si>
    <t>Налоговая база</t>
  </si>
  <si>
    <t>Налог с начала года</t>
  </si>
  <si>
    <t>Прибыль с начала года</t>
  </si>
  <si>
    <t>Прибыль с начала года за минусом накопленного убытка</t>
  </si>
  <si>
    <t>Распределение налогов</t>
  </si>
  <si>
    <t>Налог на прибыль предприятия</t>
  </si>
  <si>
    <t>Налог на ФОТ</t>
  </si>
  <si>
    <t>Сумма</t>
  </si>
  <si>
    <t>Уплаченный НДС контрагентам</t>
  </si>
  <si>
    <t>Уплаченный НДС в бюджет</t>
  </si>
  <si>
    <t>мес.</t>
  </si>
  <si>
    <t>Дата начала</t>
  </si>
  <si>
    <t>К-во персонала</t>
  </si>
  <si>
    <t>Процент на прочие расходы</t>
  </si>
  <si>
    <t>Прочие допущения</t>
  </si>
  <si>
    <t>Налог на прибыль</t>
  </si>
  <si>
    <t>FCFE до привлечения/погашения кредита</t>
  </si>
  <si>
    <t xml:space="preserve">FCFE </t>
  </si>
  <si>
    <t xml:space="preserve">Итого </t>
  </si>
  <si>
    <t>Необходимые инвестиции</t>
  </si>
  <si>
    <t>Расчетный денежный поток (накопленным итогом)</t>
  </si>
  <si>
    <t>Стоимость продукции, %</t>
  </si>
  <si>
    <t>IRR годовая</t>
  </si>
  <si>
    <t>Период окупаемости</t>
  </si>
  <si>
    <t>Дисконтированный период окупаемости</t>
  </si>
  <si>
    <t>Затраты, %</t>
  </si>
  <si>
    <t>Ставка дисконтирования, %</t>
  </si>
  <si>
    <t>Brl=Bmu×(1+(1-t)×(D/E))</t>
  </si>
  <si>
    <t>Прибыль от продаж/Выручка, %</t>
  </si>
  <si>
    <t>Начальное значение</t>
  </si>
  <si>
    <t>Шаг изменения</t>
  </si>
  <si>
    <t>Процент загрузки</t>
  </si>
  <si>
    <t>Переменные затраты</t>
  </si>
  <si>
    <t>Постоянные затраты</t>
  </si>
  <si>
    <t>Полные затраты</t>
  </si>
  <si>
    <t>Прибыль / Убыток</t>
  </si>
  <si>
    <t>Примечание</t>
  </si>
  <si>
    <t>Прибыль (убыток) от продаж</t>
  </si>
  <si>
    <t>Валовая прибыль (убыток)</t>
  </si>
  <si>
    <t>Прибыль (убыток) до налогообложения</t>
  </si>
  <si>
    <t>Чистая прибыль (убыток)</t>
  </si>
  <si>
    <t>-</t>
  </si>
  <si>
    <t>Ставка дисконтирования годовая</t>
  </si>
  <si>
    <t>Макроиндексы</t>
  </si>
  <si>
    <t>Среднегодовая инфляция</t>
  </si>
  <si>
    <t>Административный персонал</t>
  </si>
  <si>
    <t>WACC, %</t>
  </si>
  <si>
    <t>Индекс цен по отношению к началу проекта</t>
  </si>
  <si>
    <t>Рост реальной заработной платы</t>
  </si>
  <si>
    <t>Индекс роста реальной заработной платы</t>
  </si>
  <si>
    <t>Ввод объекта</t>
  </si>
  <si>
    <t>Ввод в действие
(запуск)</t>
  </si>
  <si>
    <t>начало</t>
  </si>
  <si>
    <t>окончание</t>
  </si>
  <si>
    <t>2016 Valuation Handbook – Guide to Cost of Capital</t>
  </si>
  <si>
    <t>без НДС</t>
  </si>
  <si>
    <t>Налоги на ФОТ</t>
  </si>
  <si>
    <t>ФОТ</t>
  </si>
  <si>
    <t>Расходы</t>
  </si>
  <si>
    <t>Итого по проекту:</t>
  </si>
  <si>
    <t>Здания и сооружения</t>
  </si>
  <si>
    <t>Прочие подготовительные расходы</t>
  </si>
  <si>
    <t>Коммерческий персонал</t>
  </si>
  <si>
    <t>Производственный персонал</t>
  </si>
  <si>
    <t>Стоимость реализации</t>
  </si>
  <si>
    <t>На основе исследования рынка кредитования России</t>
  </si>
  <si>
    <t>Средневзвешенные ставки по долгосрочным кредитам в USD, %</t>
  </si>
  <si>
    <t>Средневзвешенные ставки по долгосрочным кредитам в RUB, %</t>
  </si>
  <si>
    <t>Переходной коэффициент</t>
  </si>
  <si>
    <t>Валютный спрэд</t>
  </si>
  <si>
    <t>(1+стр. 14)/(1+стр. 13)</t>
  </si>
  <si>
    <t>Коррекция на различие в валюте</t>
  </si>
  <si>
    <t>(1+стр. 12)×стр. 15-1</t>
  </si>
  <si>
    <t>Премия за риск недополучения доходов (на основе кредитного рейтинга России и разницы в доходности облигаций)</t>
  </si>
  <si>
    <t>Оборудование и инвентарь</t>
  </si>
  <si>
    <t>Ставка налога на прибыль</t>
  </si>
  <si>
    <t>Процент налоговых отчислений на зарплату сотрудников</t>
  </si>
  <si>
    <t>Себестоимость, с НДС</t>
  </si>
  <si>
    <t>Стоимость реализации, с НДС</t>
  </si>
  <si>
    <t>Актив</t>
  </si>
  <si>
    <t>Внеоборотные активы</t>
  </si>
  <si>
    <t>НМА</t>
  </si>
  <si>
    <t>Основные средства</t>
  </si>
  <si>
    <t>Незавершенное строительство</t>
  </si>
  <si>
    <t>Прочие внеоборотные</t>
  </si>
  <si>
    <t>Оборотные активы</t>
  </si>
  <si>
    <t>Запасы</t>
  </si>
  <si>
    <t>НДС по приобретенным ценностям</t>
  </si>
  <si>
    <t>Дебиторская задолженность</t>
  </si>
  <si>
    <t>Денежные средства</t>
  </si>
  <si>
    <t>Пассив</t>
  </si>
  <si>
    <t>Собственный капитал</t>
  </si>
  <si>
    <t>Уставный капитал</t>
  </si>
  <si>
    <t>Нераспределенная прибыль/убыток</t>
  </si>
  <si>
    <t>Обязательства</t>
  </si>
  <si>
    <t>Займы и кредиты</t>
  </si>
  <si>
    <t>Кредиторская задолженность</t>
  </si>
  <si>
    <t>Сходимость баланса</t>
  </si>
  <si>
    <t>- Сырье и материалы</t>
  </si>
  <si>
    <t>- Готовая продукция и товары для перепродажи</t>
  </si>
  <si>
    <t>- Расходы будущих периодов</t>
  </si>
  <si>
    <t>Потребность в СОК</t>
  </si>
  <si>
    <t>Изменение СОК</t>
  </si>
  <si>
    <t>Материалы</t>
  </si>
  <si>
    <t>Сырье</t>
  </si>
  <si>
    <t>Готовая продукция</t>
  </si>
  <si>
    <t>Товары для перепродажи</t>
  </si>
  <si>
    <t>Расчеты с персоналом</t>
  </si>
  <si>
    <t>Норматив СОК (дней)</t>
  </si>
  <si>
    <t>Производственные</t>
  </si>
  <si>
    <t>Маркетинговые</t>
  </si>
  <si>
    <t>Управление</t>
  </si>
  <si>
    <t>Прочие</t>
  </si>
  <si>
    <t>Группа</t>
  </si>
  <si>
    <t>Налоговые отчисления на оплату труда</t>
  </si>
  <si>
    <t>Материальные расходы</t>
  </si>
  <si>
    <t>Маркетинг и реклама</t>
  </si>
  <si>
    <t>Коммунальные расходы</t>
  </si>
  <si>
    <t>Распределение затрат по группам (усредненно)</t>
  </si>
  <si>
    <t>Показатели по проекту в целом (без привлечения кредитов)</t>
  </si>
  <si>
    <t>Объем производства</t>
  </si>
  <si>
    <t>Условно постоянные расходы, с НДС</t>
  </si>
  <si>
    <t>Макроиндексы по стоимости реализации</t>
  </si>
  <si>
    <t>Макроиндексы по стоимости расходов</t>
  </si>
  <si>
    <t>Индекс прибыльности</t>
  </si>
  <si>
    <t>раз</t>
  </si>
  <si>
    <t>Онлайн-реклама</t>
  </si>
  <si>
    <t>Оффлайн-реклама</t>
  </si>
  <si>
    <t>Диаграмма: Центры прибыли</t>
  </si>
  <si>
    <t>Этапы развития проекта</t>
  </si>
  <si>
    <t>Продолжительность запуска, мес.</t>
  </si>
  <si>
    <t>Разработка сайта</t>
  </si>
  <si>
    <t>Консалтинговые услуги</t>
  </si>
  <si>
    <t>Индекс прибыльности (PI)</t>
  </si>
  <si>
    <t>Объем производства продукции/План развития производства</t>
  </si>
  <si>
    <t>Подготовительные маркетинговые расходы</t>
  </si>
  <si>
    <t>руб./мес.</t>
  </si>
  <si>
    <t>Выручка от реализации, тыс. руб. без НДС</t>
  </si>
  <si>
    <t>Диаграмма: Динамика выручки проекта, тыс. руб. без НДС</t>
  </si>
  <si>
    <t>Заработная плата, руб./мес.</t>
  </si>
  <si>
    <t>Оклад, руб.</t>
  </si>
  <si>
    <t>тыс. руб./мес.</t>
  </si>
  <si>
    <t>тыс.руб./мес.</t>
  </si>
  <si>
    <t>Производственная себестоимость, тыс. руб. без НДС</t>
  </si>
  <si>
    <t>Коммерческие расходы, тыс. руб. без НДС</t>
  </si>
  <si>
    <t>Управленческие расходы, тыс. руб. без НДС</t>
  </si>
  <si>
    <t>Группировка затрат по экономическим элементам, тыс. руб. без НДС</t>
  </si>
  <si>
    <t>тыс. руб.</t>
  </si>
  <si>
    <t>Собственный оборотный капитал, тыс. руб. без НДС</t>
  </si>
  <si>
    <t>Сырье и материалы, тыс. руб. без НДС</t>
  </si>
  <si>
    <t>Готовая продукция и товары для перепродажи, тыс. руб. без НДС</t>
  </si>
  <si>
    <t>Персонал, тыс. руб. без НДС</t>
  </si>
  <si>
    <t>Стоимость ед., руб. с НДС</t>
  </si>
  <si>
    <t>Итого, руб. с НДС</t>
  </si>
  <si>
    <t>Кап. вложения, тыс. руб. без НДС</t>
  </si>
  <si>
    <t>Первоначальная стоимость, тыс. руб. без НДС</t>
  </si>
  <si>
    <t>Амортизационные отчисления, тыс. руб. без НДС</t>
  </si>
  <si>
    <t>Остаточная стоимость имущества (на конец периода), тыс. руб. без НДС</t>
  </si>
  <si>
    <t>Отчет о прибылях и убытках, тыс. руб. без НДС</t>
  </si>
  <si>
    <t>Баланс, тыс. руб.</t>
  </si>
  <si>
    <t>Денежный поток, тыс. руб.</t>
  </si>
  <si>
    <t>Точка безубыточности, тыс. руб.</t>
  </si>
  <si>
    <t>руб./ед.</t>
  </si>
  <si>
    <t>Интернет и связь</t>
  </si>
  <si>
    <t>Дезинфекция</t>
  </si>
  <si>
    <t>Канцелярские товары</t>
  </si>
  <si>
    <t>Расходы на поддержку сайта</t>
  </si>
  <si>
    <t>Порядковый № месяца в году</t>
  </si>
  <si>
    <t>Загрузка, % от максимальной за год</t>
  </si>
  <si>
    <t>янв.</t>
  </si>
  <si>
    <t>фев.</t>
  </si>
  <si>
    <t>мар.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</si>
  <si>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</si>
  <si>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</si>
  <si>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</si>
  <si>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</si>
  <si>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</si>
  <si>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</si>
  <si>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</si>
  <si>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</si>
  <si>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</si>
  <si>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Сезонность продаж</t>
  </si>
  <si>
    <t>Средний чек, % от максимальной за год</t>
  </si>
  <si>
    <t>Сезонность цен</t>
  </si>
  <si>
    <t>Директор</t>
  </si>
  <si>
    <t>Менеджер по продажам</t>
  </si>
  <si>
    <t>Коммунальные платежи</t>
  </si>
  <si>
    <t>Главный бухгалтер</t>
  </si>
  <si>
    <t>NA</t>
  </si>
  <si>
    <t>Свиные полутуши</t>
  </si>
  <si>
    <t>Говядина четверти</t>
  </si>
  <si>
    <t>Тушки куриные</t>
  </si>
  <si>
    <t>Тушки индейки</t>
  </si>
  <si>
    <t>Котлеты замороженные</t>
  </si>
  <si>
    <t>Шашлык маринованный</t>
  </si>
  <si>
    <t>Фрикадельки</t>
  </si>
  <si>
    <t>Пельмени</t>
  </si>
  <si>
    <t>кг/мес.</t>
  </si>
  <si>
    <t>руб./кг</t>
  </si>
  <si>
    <t>Э/э</t>
  </si>
  <si>
    <t>ГСМ</t>
  </si>
  <si>
    <t>Директор производства</t>
  </si>
  <si>
    <t>Главный технолог</t>
  </si>
  <si>
    <t>Начальник ОТК/Ветеринарный врач</t>
  </si>
  <si>
    <t>Начальник смены</t>
  </si>
  <si>
    <t>Лаборант-микробиолог</t>
  </si>
  <si>
    <t>Инженер-механик</t>
  </si>
  <si>
    <t>Электрик/слесарь-ремонтник</t>
  </si>
  <si>
    <t>Бухгалтер</t>
  </si>
  <si>
    <t>Менеджер по закупкам</t>
  </si>
  <si>
    <t>Обвальщик/мясник</t>
  </si>
  <si>
    <t>Рабочий убойного цеха</t>
  </si>
  <si>
    <t>Оператор упаковки/шоковой заморозки</t>
  </si>
  <si>
    <t>Оператор маринования/фасовки</t>
  </si>
  <si>
    <t>Водитель погрузчика/кладовщик</t>
  </si>
  <si>
    <t>Охранник</t>
  </si>
  <si>
    <t>Уборщик</t>
  </si>
  <si>
    <t>Линия по переработке</t>
  </si>
  <si>
    <t>Пельменная линия (автомат)</t>
  </si>
  <si>
    <t>Линия по производству фрикаделек</t>
  </si>
  <si>
    <t>Туннель шоковой заморозки</t>
  </si>
  <si>
    <t>Food Processing</t>
  </si>
  <si>
    <t>https://www.tradingview.com/symbols/TVC-US30Y/</t>
  </si>
  <si>
    <t>http://pages.stern.nyu.edu/~adamodar/</t>
  </si>
  <si>
    <t>Статистический бюллетень Банка России №3 (382) 2025 таблица 4.3.7.</t>
  </si>
  <si>
    <t>https://www.cbr.ru/Collection/Collection/File/32179/Bbs_2103_r.pdf</t>
  </si>
  <si>
    <t>Статистический бюллетень Банка России №3 (382) 2025 таблица 4.3.6.</t>
  </si>
  <si>
    <t>Статистический бюллетень Банка России №3 (334) 2021 таблица 4.3.6.</t>
  </si>
  <si>
    <t>Кредитная линия от банка</t>
  </si>
  <si>
    <t>Сумма кредита, тыс. руб.</t>
  </si>
  <si>
    <t>Процентная ставка (годовая)</t>
  </si>
  <si>
    <t>Процентная ставка (месячная)</t>
  </si>
  <si>
    <t>Срок в годах</t>
  </si>
  <si>
    <t>Срок в месяцах</t>
  </si>
  <si>
    <t>Вид кредита</t>
  </si>
  <si>
    <t>аннуитет</t>
  </si>
  <si>
    <t>Отсрочка на выплату процентов по кредиту (мес.)</t>
  </si>
  <si>
    <t>Отсрочка на выплату тела кредита (мес.)</t>
  </si>
  <si>
    <t>Кредитный калькулятор</t>
  </si>
  <si>
    <t>Выплаты тела кредита</t>
  </si>
  <si>
    <t>Выплаты процентов по кредиту</t>
  </si>
  <si>
    <t>Итого платежей</t>
  </si>
  <si>
    <t>Остаток на начало периода</t>
  </si>
  <si>
    <t>Получение кредита</t>
  </si>
  <si>
    <t>Выплата процентов по кредиту</t>
  </si>
  <si>
    <t>Выплата основной суммы долга по кредиту</t>
  </si>
  <si>
    <t>Остаток на конец периода</t>
  </si>
  <si>
    <t>Проценты к уплате</t>
  </si>
  <si>
    <t>Привлечение кредитов</t>
  </si>
  <si>
    <t>Обслуживание долга</t>
  </si>
  <si>
    <t>Погашение процентов</t>
  </si>
  <si>
    <t>Погашение долга</t>
  </si>
  <si>
    <t>Модернизация предприятия</t>
  </si>
  <si>
    <t>Линия по производству котлетной продукции</t>
  </si>
  <si>
    <t>Цех копчения</t>
  </si>
  <si>
    <t>Склад готовой продукции</t>
  </si>
  <si>
    <t>Морозильные камеры</t>
  </si>
  <si>
    <t>Заказчик: ИП Глава крестьянско-фермерского хозяйства Жирова Вера Валериевна</t>
  </si>
  <si>
    <t>Источники финансирования проекта</t>
  </si>
  <si>
    <t>Кредитные средства</t>
  </si>
  <si>
    <t>Деньги инвестора/инициатора проекта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</si>
</sst>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₽&quot;_-;\-* #,##0.00\ &quot;₽&quot;_-;_-* &quot;-&quot;??\ &quot;₽&quot;_-;_-@_-"/>
    <numFmt numFmtId="164" formatCode="_-* #,##0.00_р_._-;\-* #,##0.00_р_._-;_-* &quot;-&quot;??_р_._-;_-@_-"/>
    <numFmt numFmtId="165" formatCode="0.0%"/>
    <numFmt numFmtId="166" formatCode="_(* #,##0_);_(* \(#,##0\);_(* &quot;-&quot;??_);_(@_)"/>
    <numFmt numFmtId="167" formatCode="#,##0.0"/>
    <numFmt numFmtId="168" formatCode="0\ "/>
    <numFmt numFmtId="169" formatCode="0.0000"/>
    <numFmt numFmtId="170" formatCode="#;\-#;&quot;-&quot;\ "/>
    <numFmt numFmtId="171" formatCode="0.000%"/>
  </numFmts>
  <fonts count="52">
    <font>
      <sz val="11"/>
      <color theme="1"/>
      <name val="Times New Roman"/>
      <family val="2"/>
      <charset val="204"/>
      <scheme val="minor"/>
    </font>
    <font>
      <sz val="8"/>
      <name val="Arial Cyr"/>
      <charset val="204"/>
    </font>
    <font>
      <sz val="11"/>
      <color theme="1"/>
      <name val="Times New Roman"/>
      <family val="2"/>
      <charset val="204"/>
      <scheme val="minor"/>
    </font>
    <font>
      <u/>
      <sz val="11"/>
      <color theme="10"/>
      <name val="Times New Roman"/>
      <family val="2"/>
      <charset val="204"/>
      <scheme val="minor"/>
    </font>
    <font>
      <sz val="10"/>
      <name val="Arial Cyr"/>
    </font>
    <font>
      <sz val="12"/>
      <color theme="1"/>
      <name val="Times New Roman"/>
      <family val="2"/>
      <scheme val="minor"/>
    </font>
    <font>
      <sz val="11"/>
      <color theme="1"/>
      <name val="Times New Roman"/>
      <family val="2"/>
      <scheme val="minor"/>
    </font>
    <font>
      <sz val="10"/>
      <color theme="0"/>
      <name val="Times New Roman"/>
      <family val="1"/>
      <charset val="204"/>
      <scheme val="minor"/>
    </font>
    <font>
      <sz val="10"/>
      <color theme="1"/>
      <name val="Times New Roman"/>
      <family val="1"/>
      <charset val="204"/>
      <scheme val="minor"/>
    </font>
    <font>
      <sz val="11"/>
      <color theme="1"/>
      <name val="Times New Roman"/>
      <family val="1"/>
      <charset val="204"/>
      <scheme val="minor"/>
    </font>
    <font>
      <b/>
      <sz val="10"/>
      <color theme="1"/>
      <name val="Times New Roman"/>
      <family val="1"/>
      <charset val="204"/>
      <scheme val="minor"/>
    </font>
    <font>
      <b/>
      <sz val="10"/>
      <color theme="0"/>
      <name val="Times New Roman"/>
      <family val="1"/>
      <charset val="204"/>
      <scheme val="minor"/>
    </font>
    <font>
      <sz val="11"/>
      <color theme="0"/>
      <name val="Times New Roman"/>
      <family val="1"/>
      <charset val="204"/>
      <scheme val="minor"/>
    </font>
    <font>
      <sz val="10"/>
      <color rgb="FF000000"/>
      <name val="Times New Roman"/>
      <family val="1"/>
      <charset val="204"/>
      <scheme val="minor"/>
    </font>
    <font>
      <b/>
      <sz val="11"/>
      <color theme="1"/>
      <name val="Times New Roman"/>
      <family val="1"/>
      <charset val="204"/>
      <scheme val="minor"/>
    </font>
    <font>
      <sz val="10"/>
      <name val="Times New Roman"/>
      <family val="1"/>
      <charset val="204"/>
      <scheme val="minor"/>
    </font>
    <font>
      <sz val="11"/>
      <name val="Times New Roman"/>
      <family val="1"/>
      <charset val="204"/>
      <scheme val="minor"/>
    </font>
    <font>
      <b/>
      <sz val="10"/>
      <name val="Times New Roman"/>
      <family val="1"/>
      <charset val="204"/>
      <scheme val="minor"/>
    </font>
    <font>
      <i/>
      <sz val="10"/>
      <color theme="1"/>
      <name val="Times New Roman"/>
      <family val="1"/>
      <charset val="204"/>
      <scheme val="minor"/>
    </font>
    <font>
      <u/>
      <sz val="10"/>
      <color theme="10"/>
      <name val="Times New Roman"/>
      <family val="1"/>
      <charset val="204"/>
      <scheme val="minor"/>
    </font>
    <font>
      <sz val="12"/>
      <color theme="1"/>
      <name val="Times New Roman"/>
      <family val="1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0"/>
      <name val="Times New Roman"/>
      <family val="1"/>
      <charset val="204"/>
    </font>
    <font>
      <sz val="11"/>
      <color theme="0"/>
      <name val="Times New Roman"/>
      <family val="2"/>
      <charset val="204"/>
      <scheme val="minor"/>
    </font>
    <font>
      <sz val="11"/>
      <name val="Times New Roman"/>
      <family val="2"/>
      <charset val="204"/>
      <scheme val="minor"/>
    </font>
    <font>
      <sz val="11"/>
      <color theme="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4"/>
      <color theme="1"/>
      <name val="Times New Roman"/>
      <family val="2"/>
      <charset val="204"/>
      <scheme val="minor"/>
    </font>
    <font>
      <sz val="11"/>
      <color theme="1"/>
      <name val="Georgia"/>
      <family val="1"/>
      <charset val="204"/>
    </font>
    <font>
      <sz val="10"/>
      <color theme="1"/>
      <name val="Georgia"/>
      <family val="1"/>
      <charset val="204"/>
    </font>
    <font>
      <sz val="10"/>
      <color theme="0"/>
      <name val="Times New Roman"/>
      <family val="1"/>
      <charset val="204"/>
      <scheme val="major"/>
    </font>
    <font>
      <sz val="10"/>
      <color theme="1"/>
      <name val="Times New Roman"/>
      <family val="1"/>
      <charset val="204"/>
      <scheme val="major"/>
    </font>
    <font>
      <sz val="11"/>
      <color theme="1"/>
      <name val="Times New Roman"/>
      <family val="1"/>
      <charset val="204"/>
      <scheme val="major"/>
    </font>
    <font>
      <b/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  <scheme val="minor"/>
    </font>
    <font>
      <i/>
      <sz val="10"/>
      <name val="Times New Roman"/>
      <family val="1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i/>
      <sz val="11"/>
      <name val="Times New Roman"/>
      <family val="1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2"/>
      <charset val="204"/>
      <scheme val="minor"/>
    </font>
    <font>
      <sz val="11"/>
      <color theme="1"/>
      <name val="Calibri"/>
      <family val="2"/>
      <charset val="204"/>
    </font>
    <font>
      <sz val="9"/>
      <color theme="1"/>
      <name val="Garamond"/>
      <family val="1"/>
      <charset val="204"/>
    </font>
    <font>
      <sz val="10"/>
      <color theme="1"/>
      <name val="Times New Roman"/>
      <family val="1"/>
      <scheme val="minor"/>
    </font>
    <font>
      <b/>
      <sz val="18"/>
      <color theme="0"/>
      <name val="Times New Roman"/>
      <family val="1"/>
      <scheme val="minor"/>
    </font>
    <font>
      <b/>
      <sz val="10"/>
      <color theme="1"/>
      <name val="Times New Roman"/>
      <family val="1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rgb="FF92D050"/>
        <bgColor rgb="FFF2F2F2"/>
      </patternFill>
    </fill>
  </fills>
  <borders count="4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35">
    <xf numFmtId="0" fontId="0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8" fontId="29" fillId="0" borderId="0"/>
    <xf numFmtId="44" fontId="2" fillId="0" borderId="0" applyFont="0" applyFill="0" applyBorder="0" applyAlignment="0" applyProtection="0"/>
    <xf numFmtId="0" fontId="2" fillId="0" borderId="0"/>
    <xf numFmtId="0" fontId="30" fillId="0" borderId="0"/>
    <xf numFmtId="0" fontId="31" fillId="0" borderId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164" fontId="30" fillId="0" borderId="0" applyFont="0" applyFill="0" applyBorder="0" applyAlignment="0" applyProtection="0"/>
    <xf numFmtId="0" fontId="33" fillId="0" borderId="0"/>
  </cellStyleXfs>
  <cellXfs count="282">
    <xf numFmtId="0" fontId="0" fillId="0" borderId="0" xfId="0"/>
    <xf numFmtId="0" fontId="9" fillId="0" borderId="0" xfId="0" applyFont="1"/>
    <xf numFmtId="0" fontId="8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8" fillId="0" borderId="0" xfId="0" applyFont="1"/>
    <xf numFmtId="9" fontId="8" fillId="0" borderId="0" xfId="0" applyNumberFormat="1" applyFont="1"/>
    <xf numFmtId="3" fontId="9" fillId="0" borderId="0" xfId="0" applyNumberFormat="1" applyFont="1"/>
    <xf numFmtId="0" fontId="10" fillId="0" borderId="0" xfId="6" applyFont="1"/>
    <xf numFmtId="3" fontId="8" fillId="0" borderId="0" xfId="0" applyNumberFormat="1" applyFont="1"/>
    <xf numFmtId="0" fontId="12" fillId="0" borderId="0" xfId="0" applyFont="1"/>
    <xf numFmtId="3" fontId="8" fillId="0" borderId="0" xfId="6" applyNumberFormat="1" applyFont="1" applyAlignment="1">
      <alignment horizontal="center"/>
    </xf>
    <xf numFmtId="9" fontId="8" fillId="0" borderId="0" xfId="6" applyNumberFormat="1" applyFont="1" applyAlignment="1">
      <alignment horizontal="center"/>
    </xf>
    <xf numFmtId="0" fontId="8" fillId="0" borderId="0" xfId="6" applyFont="1"/>
    <xf numFmtId="0" fontId="7" fillId="0" borderId="0" xfId="6" applyFont="1"/>
    <xf numFmtId="0" fontId="8" fillId="0" borderId="0" xfId="6" applyFont="1" applyAlignment="1">
      <alignment horizontal="center"/>
    </xf>
    <xf numFmtId="0" fontId="8" fillId="0" borderId="0" xfId="46" applyFont="1"/>
    <xf numFmtId="0" fontId="10" fillId="0" borderId="0" xfId="46" applyFont="1"/>
    <xf numFmtId="0" fontId="8" fillId="0" borderId="0" xfId="46" applyFont="1" applyAlignment="1">
      <alignment horizontal="center"/>
    </xf>
    <xf numFmtId="0" fontId="7" fillId="4" borderId="0" xfId="0" applyFont="1" applyFill="1"/>
    <xf numFmtId="0" fontId="7" fillId="4" borderId="0" xfId="0" applyFont="1" applyFill="1" applyAlignment="1">
      <alignment horizontal="center"/>
    </xf>
    <xf numFmtId="17" fontId="11" fillId="4" borderId="0" xfId="5" applyNumberFormat="1" applyFont="1" applyFill="1" applyAlignment="1">
      <alignment horizontal="center" vertical="center"/>
    </xf>
    <xf numFmtId="0" fontId="9" fillId="4" borderId="0" xfId="0" applyFont="1" applyFill="1"/>
    <xf numFmtId="0" fontId="12" fillId="4" borderId="0" xfId="0" applyFont="1" applyFill="1"/>
    <xf numFmtId="0" fontId="7" fillId="4" borderId="0" xfId="0" applyFont="1" applyFill="1" applyAlignment="1">
      <alignment horizontal="center" vertical="center"/>
    </xf>
    <xf numFmtId="3" fontId="7" fillId="4" borderId="0" xfId="0" applyNumberFormat="1" applyFont="1" applyFill="1" applyAlignment="1">
      <alignment horizontal="center"/>
    </xf>
    <xf numFmtId="3" fontId="8" fillId="3" borderId="0" xfId="0" applyNumberFormat="1" applyFont="1" applyFill="1" applyAlignment="1">
      <alignment horizontal="center"/>
    </xf>
    <xf numFmtId="9" fontId="8" fillId="3" borderId="0" xfId="0" applyNumberFormat="1" applyFont="1" applyFill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center"/>
    </xf>
    <xf numFmtId="3" fontId="10" fillId="3" borderId="0" xfId="0" applyNumberFormat="1" applyFont="1" applyFill="1" applyAlignment="1">
      <alignment horizontal="center"/>
    </xf>
    <xf numFmtId="0" fontId="8" fillId="3" borderId="0" xfId="0" applyFont="1" applyFill="1" applyAlignment="1">
      <alignment wrapText="1"/>
    </xf>
    <xf numFmtId="0" fontId="9" fillId="3" borderId="0" xfId="0" applyFont="1" applyFill="1"/>
    <xf numFmtId="3" fontId="10" fillId="0" borderId="0" xfId="0" applyNumberFormat="1" applyFont="1" applyAlignment="1">
      <alignment horizontal="center"/>
    </xf>
    <xf numFmtId="3" fontId="8" fillId="2" borderId="0" xfId="0" applyNumberFormat="1" applyFont="1" applyFill="1" applyAlignment="1">
      <alignment horizontal="center"/>
    </xf>
    <xf numFmtId="0" fontId="7" fillId="4" borderId="0" xfId="0" applyFont="1" applyFill="1" applyAlignment="1">
      <alignment wrapText="1"/>
    </xf>
    <xf numFmtId="1" fontId="7" fillId="4" borderId="0" xfId="0" applyNumberFormat="1" applyFont="1" applyFill="1" applyAlignment="1">
      <alignment horizontal="center"/>
    </xf>
    <xf numFmtId="1" fontId="9" fillId="0" borderId="0" xfId="0" applyNumberFormat="1" applyFont="1"/>
    <xf numFmtId="1" fontId="8" fillId="0" borderId="0" xfId="0" applyNumberFormat="1" applyFont="1"/>
    <xf numFmtId="1" fontId="7" fillId="0" borderId="0" xfId="0" applyNumberFormat="1" applyFont="1"/>
    <xf numFmtId="0" fontId="16" fillId="0" borderId="0" xfId="0" applyFont="1"/>
    <xf numFmtId="0" fontId="15" fillId="0" borderId="0" xfId="0" applyFont="1" applyAlignment="1">
      <alignment wrapText="1"/>
    </xf>
    <xf numFmtId="9" fontId="15" fillId="0" borderId="0" xfId="4" applyFont="1" applyFill="1" applyBorder="1" applyAlignment="1">
      <alignment horizontal="center"/>
    </xf>
    <xf numFmtId="1" fontId="8" fillId="0" borderId="0" xfId="4" applyNumberFormat="1" applyFont="1" applyFill="1" applyBorder="1" applyAlignment="1">
      <alignment horizontal="center"/>
    </xf>
    <xf numFmtId="3" fontId="17" fillId="0" borderId="0" xfId="0" applyNumberFormat="1" applyFont="1" applyAlignment="1">
      <alignment horizontal="center"/>
    </xf>
    <xf numFmtId="0" fontId="15" fillId="3" borderId="0" xfId="0" applyFont="1" applyFill="1"/>
    <xf numFmtId="0" fontId="7" fillId="4" borderId="2" xfId="0" applyFont="1" applyFill="1" applyBorder="1" applyAlignment="1">
      <alignment wrapText="1"/>
    </xf>
    <xf numFmtId="3" fontId="7" fillId="4" borderId="2" xfId="0" applyNumberFormat="1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3" fontId="7" fillId="4" borderId="1" xfId="0" applyNumberFormat="1" applyFont="1" applyFill="1" applyBorder="1" applyAlignment="1">
      <alignment horizontal="center"/>
    </xf>
    <xf numFmtId="0" fontId="7" fillId="4" borderId="2" xfId="0" applyFont="1" applyFill="1" applyBorder="1"/>
    <xf numFmtId="14" fontId="8" fillId="2" borderId="0" xfId="0" applyNumberFormat="1" applyFont="1" applyFill="1" applyAlignment="1">
      <alignment horizontal="center" wrapText="1"/>
    </xf>
    <xf numFmtId="0" fontId="13" fillId="3" borderId="0" xfId="0" applyFont="1" applyFill="1" applyAlignment="1">
      <alignment horizontal="center" vertical="center" wrapText="1"/>
    </xf>
    <xf numFmtId="3" fontId="13" fillId="3" borderId="0" xfId="0" applyNumberFormat="1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10" fillId="0" borderId="0" xfId="0" applyFont="1"/>
    <xf numFmtId="0" fontId="11" fillId="4" borderId="0" xfId="0" applyFont="1" applyFill="1" applyAlignment="1">
      <alignment horizontal="center"/>
    </xf>
    <xf numFmtId="3" fontId="8" fillId="3" borderId="0" xfId="4" applyNumberFormat="1" applyFont="1" applyFill="1" applyBorder="1" applyAlignment="1">
      <alignment horizontal="center"/>
    </xf>
    <xf numFmtId="0" fontId="7" fillId="4" borderId="0" xfId="0" applyFont="1" applyFill="1" applyAlignment="1">
      <alignment horizontal="left"/>
    </xf>
    <xf numFmtId="4" fontId="8" fillId="3" borderId="0" xfId="0" applyNumberFormat="1" applyFont="1" applyFill="1" applyAlignment="1">
      <alignment horizontal="center"/>
    </xf>
    <xf numFmtId="2" fontId="0" fillId="0" borderId="0" xfId="0" applyNumberFormat="1"/>
    <xf numFmtId="3" fontId="7" fillId="4" borderId="2" xfId="0" applyNumberFormat="1" applyFont="1" applyFill="1" applyBorder="1" applyAlignment="1">
      <alignment horizontal="center" vertical="center"/>
    </xf>
    <xf numFmtId="3" fontId="7" fillId="4" borderId="3" xfId="0" applyNumberFormat="1" applyFont="1" applyFill="1" applyBorder="1" applyAlignment="1">
      <alignment horizontal="center" vertical="center"/>
    </xf>
    <xf numFmtId="9" fontId="7" fillId="4" borderId="3" xfId="4" applyFont="1" applyFill="1" applyBorder="1" applyAlignment="1">
      <alignment horizontal="center" vertical="center"/>
    </xf>
    <xf numFmtId="3" fontId="7" fillId="4" borderId="3" xfId="0" applyNumberFormat="1" applyFont="1" applyFill="1" applyBorder="1" applyAlignment="1">
      <alignment horizontal="center"/>
    </xf>
    <xf numFmtId="9" fontId="8" fillId="3" borderId="0" xfId="4" applyFont="1" applyFill="1" applyBorder="1" applyAlignment="1">
      <alignment horizontal="center"/>
    </xf>
    <xf numFmtId="0" fontId="10" fillId="3" borderId="0" xfId="0" applyFont="1" applyFill="1"/>
    <xf numFmtId="0" fontId="18" fillId="3" borderId="0" xfId="0" applyFont="1" applyFill="1"/>
    <xf numFmtId="0" fontId="8" fillId="3" borderId="0" xfId="6" applyFont="1" applyFill="1"/>
    <xf numFmtId="0" fontId="8" fillId="3" borderId="0" xfId="6" applyFont="1" applyFill="1" applyAlignment="1">
      <alignment horizontal="center"/>
    </xf>
    <xf numFmtId="0" fontId="10" fillId="3" borderId="0" xfId="6" applyFont="1" applyFill="1"/>
    <xf numFmtId="0" fontId="10" fillId="3" borderId="0" xfId="6" applyFont="1" applyFill="1" applyAlignment="1">
      <alignment horizontal="center"/>
    </xf>
    <xf numFmtId="0" fontId="11" fillId="4" borderId="0" xfId="6" applyFont="1" applyFill="1"/>
    <xf numFmtId="0" fontId="8" fillId="3" borderId="0" xfId="6" applyFont="1" applyFill="1" applyAlignment="1">
      <alignment horizontal="left"/>
    </xf>
    <xf numFmtId="0" fontId="7" fillId="4" borderId="1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19" fillId="3" borderId="0" xfId="1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 wrapText="1"/>
    </xf>
    <xf numFmtId="49" fontId="8" fillId="3" borderId="0" xfId="0" applyNumberFormat="1" applyFont="1" applyFill="1" applyAlignment="1">
      <alignment horizontal="center" vertical="center" wrapText="1"/>
    </xf>
    <xf numFmtId="9" fontId="9" fillId="0" borderId="0" xfId="4" applyFont="1" applyBorder="1"/>
    <xf numFmtId="2" fontId="8" fillId="0" borderId="0" xfId="6" applyNumberFormat="1" applyFont="1" applyAlignment="1">
      <alignment horizontal="center"/>
    </xf>
    <xf numFmtId="0" fontId="11" fillId="0" borderId="0" xfId="6" applyFont="1"/>
    <xf numFmtId="3" fontId="7" fillId="0" borderId="0" xfId="0" applyNumberFormat="1" applyFont="1"/>
    <xf numFmtId="3" fontId="8" fillId="3" borderId="0" xfId="6" applyNumberFormat="1" applyFont="1" applyFill="1" applyAlignment="1">
      <alignment horizontal="center"/>
    </xf>
    <xf numFmtId="9" fontId="8" fillId="3" borderId="0" xfId="6" applyNumberFormat="1" applyFont="1" applyFill="1" applyAlignment="1">
      <alignment horizontal="center"/>
    </xf>
    <xf numFmtId="1" fontId="8" fillId="3" borderId="0" xfId="0" applyNumberFormat="1" applyFont="1" applyFill="1" applyAlignment="1">
      <alignment horizontal="center"/>
    </xf>
    <xf numFmtId="0" fontId="7" fillId="4" borderId="0" xfId="73" applyFont="1" applyFill="1" applyAlignment="1">
      <alignment horizontal="left" vertical="center"/>
    </xf>
    <xf numFmtId="0" fontId="7" fillId="4" borderId="0" xfId="73" applyFont="1" applyFill="1" applyAlignment="1">
      <alignment horizontal="center" vertical="center"/>
    </xf>
    <xf numFmtId="9" fontId="7" fillId="4" borderId="0" xfId="14" applyFont="1" applyFill="1" applyBorder="1" applyAlignment="1">
      <alignment horizontal="center" vertical="center"/>
    </xf>
    <xf numFmtId="0" fontId="7" fillId="4" borderId="0" xfId="46" applyFont="1" applyFill="1"/>
    <xf numFmtId="3" fontId="7" fillId="4" borderId="0" xfId="73" applyNumberFormat="1" applyFont="1" applyFill="1" applyAlignment="1">
      <alignment horizontal="center" vertical="center"/>
    </xf>
    <xf numFmtId="0" fontId="12" fillId="4" borderId="0" xfId="46" applyFont="1" applyFill="1"/>
    <xf numFmtId="0" fontId="10" fillId="3" borderId="0" xfId="46" applyFont="1" applyFill="1"/>
    <xf numFmtId="3" fontId="10" fillId="3" borderId="0" xfId="46" applyNumberFormat="1" applyFont="1" applyFill="1" applyAlignment="1">
      <alignment horizontal="center"/>
    </xf>
    <xf numFmtId="0" fontId="8" fillId="3" borderId="0" xfId="46" applyFont="1" applyFill="1"/>
    <xf numFmtId="3" fontId="8" fillId="3" borderId="0" xfId="46" applyNumberFormat="1" applyFont="1" applyFill="1" applyAlignment="1">
      <alignment horizontal="center"/>
    </xf>
    <xf numFmtId="167" fontId="8" fillId="3" borderId="0" xfId="0" applyNumberFormat="1" applyFont="1" applyFill="1" applyAlignment="1">
      <alignment horizontal="center"/>
    </xf>
    <xf numFmtId="167" fontId="7" fillId="4" borderId="0" xfId="0" applyNumberFormat="1" applyFont="1" applyFill="1" applyAlignment="1">
      <alignment horizontal="center"/>
    </xf>
    <xf numFmtId="167" fontId="8" fillId="3" borderId="0" xfId="9" applyNumberFormat="1" applyFont="1" applyFill="1" applyBorder="1" applyAlignment="1">
      <alignment horizontal="center"/>
    </xf>
    <xf numFmtId="0" fontId="15" fillId="3" borderId="0" xfId="0" applyFont="1" applyFill="1" applyAlignment="1">
      <alignment vertical="center" wrapText="1"/>
    </xf>
    <xf numFmtId="3" fontId="8" fillId="3" borderId="0" xfId="0" applyNumberFormat="1" applyFont="1" applyFill="1" applyAlignment="1">
      <alignment horizontal="center" vertical="center"/>
    </xf>
    <xf numFmtId="0" fontId="21" fillId="0" borderId="0" xfId="0" applyFont="1"/>
    <xf numFmtId="0" fontId="22" fillId="0" borderId="0" xfId="0" applyFont="1"/>
    <xf numFmtId="0" fontId="23" fillId="4" borderId="0" xfId="0" applyFont="1" applyFill="1" applyAlignment="1">
      <alignment horizontal="center"/>
    </xf>
    <xf numFmtId="0" fontId="21" fillId="3" borderId="0" xfId="0" applyFont="1" applyFill="1" applyAlignment="1">
      <alignment wrapText="1"/>
    </xf>
    <xf numFmtId="14" fontId="8" fillId="2" borderId="0" xfId="0" applyNumberFormat="1" applyFont="1" applyFill="1" applyAlignment="1">
      <alignment horizontal="center"/>
    </xf>
    <xf numFmtId="3" fontId="8" fillId="2" borderId="0" xfId="0" applyNumberFormat="1" applyFont="1" applyFill="1" applyAlignment="1">
      <alignment horizontal="center" vertical="center"/>
    </xf>
    <xf numFmtId="4" fontId="8" fillId="2" borderId="0" xfId="0" applyNumberFormat="1" applyFont="1" applyFill="1" applyAlignment="1">
      <alignment horizontal="center"/>
    </xf>
    <xf numFmtId="9" fontId="8" fillId="2" borderId="0" xfId="0" applyNumberFormat="1" applyFont="1" applyFill="1" applyAlignment="1">
      <alignment horizontal="center"/>
    </xf>
    <xf numFmtId="9" fontId="15" fillId="2" borderId="0" xfId="0" applyNumberFormat="1" applyFont="1" applyFill="1" applyAlignment="1">
      <alignment horizontal="center"/>
    </xf>
    <xf numFmtId="9" fontId="8" fillId="0" borderId="0" xfId="4" applyFont="1" applyFill="1" applyBorder="1"/>
    <xf numFmtId="0" fontId="10" fillId="0" borderId="0" xfId="0" applyFont="1" applyAlignment="1">
      <alignment horizontal="center"/>
    </xf>
    <xf numFmtId="3" fontId="10" fillId="3" borderId="0" xfId="6" applyNumberFormat="1" applyFont="1" applyFill="1" applyAlignment="1">
      <alignment horizontal="center"/>
    </xf>
    <xf numFmtId="9" fontId="15" fillId="3" borderId="0" xfId="4" applyFont="1" applyFill="1" applyBorder="1" applyAlignment="1">
      <alignment horizontal="center" vertical="center"/>
    </xf>
    <xf numFmtId="10" fontId="9" fillId="0" borderId="0" xfId="4" applyNumberFormat="1" applyFont="1" applyBorder="1"/>
    <xf numFmtId="0" fontId="24" fillId="0" borderId="0" xfId="0" applyFont="1"/>
    <xf numFmtId="3" fontId="0" fillId="0" borderId="0" xfId="0" applyNumberFormat="1"/>
    <xf numFmtId="3" fontId="25" fillId="0" borderId="0" xfId="0" applyNumberFormat="1" applyFont="1"/>
    <xf numFmtId="3" fontId="7" fillId="0" borderId="0" xfId="0" applyNumberFormat="1" applyFont="1" applyAlignment="1">
      <alignment horizontal="center"/>
    </xf>
    <xf numFmtId="0" fontId="15" fillId="0" borderId="0" xfId="0" applyFont="1"/>
    <xf numFmtId="10" fontId="8" fillId="0" borderId="0" xfId="4" applyNumberFormat="1" applyFont="1" applyBorder="1"/>
    <xf numFmtId="0" fontId="8" fillId="3" borderId="0" xfId="0" applyFont="1" applyFill="1" applyAlignment="1">
      <alignment vertical="center" wrapText="1"/>
    </xf>
    <xf numFmtId="9" fontId="16" fillId="0" borderId="0" xfId="4" applyFont="1" applyFill="1" applyBorder="1"/>
    <xf numFmtId="0" fontId="23" fillId="4" borderId="0" xfId="0" applyFont="1" applyFill="1"/>
    <xf numFmtId="17" fontId="27" fillId="4" borderId="0" xfId="5" applyNumberFormat="1" applyFont="1" applyFill="1" applyAlignment="1">
      <alignment horizontal="center" vertical="center"/>
    </xf>
    <xf numFmtId="0" fontId="22" fillId="4" borderId="0" xfId="0" applyFont="1" applyFill="1"/>
    <xf numFmtId="0" fontId="23" fillId="4" borderId="1" xfId="0" applyFont="1" applyFill="1" applyBorder="1" applyAlignment="1">
      <alignment wrapText="1"/>
    </xf>
    <xf numFmtId="3" fontId="21" fillId="0" borderId="0" xfId="0" applyNumberFormat="1" applyFont="1" applyAlignment="1">
      <alignment horizontal="center"/>
    </xf>
    <xf numFmtId="165" fontId="21" fillId="0" borderId="0" xfId="0" applyNumberFormat="1" applyFont="1" applyAlignment="1">
      <alignment horizontal="center"/>
    </xf>
    <xf numFmtId="3" fontId="22" fillId="0" borderId="0" xfId="0" applyNumberFormat="1" applyFont="1"/>
    <xf numFmtId="0" fontId="21" fillId="0" borderId="0" xfId="0" applyFont="1" applyAlignment="1">
      <alignment wrapText="1"/>
    </xf>
    <xf numFmtId="0" fontId="21" fillId="0" borderId="0" xfId="0" applyFont="1" applyAlignment="1">
      <alignment horizontal="center" wrapText="1"/>
    </xf>
    <xf numFmtId="4" fontId="21" fillId="0" borderId="0" xfId="0" applyNumberFormat="1" applyFont="1" applyAlignment="1">
      <alignment horizontal="center"/>
    </xf>
    <xf numFmtId="0" fontId="26" fillId="4" borderId="0" xfId="0" applyFont="1" applyFill="1"/>
    <xf numFmtId="0" fontId="28" fillId="3" borderId="0" xfId="0" applyFont="1" applyFill="1" applyAlignment="1">
      <alignment vertical="center" wrapText="1"/>
    </xf>
    <xf numFmtId="0" fontId="22" fillId="3" borderId="0" xfId="0" applyFont="1" applyFill="1"/>
    <xf numFmtId="4" fontId="22" fillId="4" borderId="0" xfId="0" applyNumberFormat="1" applyFont="1" applyFill="1"/>
    <xf numFmtId="9" fontId="22" fillId="0" borderId="0" xfId="4" applyFont="1" applyBorder="1"/>
    <xf numFmtId="0" fontId="21" fillId="3" borderId="0" xfId="0" applyFont="1" applyFill="1" applyAlignment="1">
      <alignment vertical="center" wrapText="1"/>
    </xf>
    <xf numFmtId="0" fontId="21" fillId="3" borderId="0" xfId="0" applyFont="1" applyFill="1" applyAlignment="1">
      <alignment horizontal="center" vertical="center" wrapText="1"/>
    </xf>
    <xf numFmtId="0" fontId="21" fillId="3" borderId="0" xfId="0" applyFont="1" applyFill="1" applyAlignment="1">
      <alignment horizontal="center" vertical="center"/>
    </xf>
    <xf numFmtId="14" fontId="8" fillId="4" borderId="0" xfId="0" applyNumberFormat="1" applyFont="1" applyFill="1" applyAlignment="1">
      <alignment horizontal="center" wrapText="1"/>
    </xf>
    <xf numFmtId="0" fontId="13" fillId="4" borderId="0" xfId="0" applyFont="1" applyFill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13" fillId="3" borderId="0" xfId="0" applyFont="1" applyFill="1" applyAlignment="1">
      <alignment vertical="center" wrapText="1"/>
    </xf>
    <xf numFmtId="0" fontId="12" fillId="4" borderId="2" xfId="0" applyFont="1" applyFill="1" applyBorder="1"/>
    <xf numFmtId="0" fontId="23" fillId="4" borderId="0" xfId="0" applyFont="1" applyFill="1" applyAlignment="1">
      <alignment vertical="center" wrapText="1"/>
    </xf>
    <xf numFmtId="0" fontId="23" fillId="4" borderId="0" xfId="0" applyFont="1" applyFill="1" applyAlignment="1">
      <alignment horizontal="center" vertical="center" wrapText="1"/>
    </xf>
    <xf numFmtId="10" fontId="23" fillId="4" borderId="0" xfId="0" applyNumberFormat="1" applyFont="1" applyFill="1" applyAlignment="1">
      <alignment horizontal="center"/>
    </xf>
    <xf numFmtId="167" fontId="8" fillId="0" borderId="0" xfId="0" applyNumberFormat="1" applyFont="1"/>
    <xf numFmtId="169" fontId="22" fillId="3" borderId="0" xfId="0" applyNumberFormat="1" applyFont="1" applyFill="1" applyAlignment="1">
      <alignment horizontal="center"/>
    </xf>
    <xf numFmtId="10" fontId="8" fillId="3" borderId="0" xfId="4" applyNumberFormat="1" applyFont="1" applyFill="1" applyBorder="1" applyAlignment="1">
      <alignment horizontal="center"/>
    </xf>
    <xf numFmtId="3" fontId="10" fillId="0" borderId="0" xfId="6" applyNumberFormat="1" applyFont="1" applyAlignment="1">
      <alignment horizontal="center"/>
    </xf>
    <xf numFmtId="0" fontId="14" fillId="0" borderId="0" xfId="0" applyFont="1"/>
    <xf numFmtId="169" fontId="8" fillId="3" borderId="0" xfId="0" applyNumberFormat="1" applyFont="1" applyFill="1" applyAlignment="1">
      <alignment horizontal="center"/>
    </xf>
    <xf numFmtId="165" fontId="8" fillId="3" borderId="0" xfId="0" applyNumberFormat="1" applyFont="1" applyFill="1" applyAlignment="1">
      <alignment horizontal="center"/>
    </xf>
    <xf numFmtId="165" fontId="8" fillId="2" borderId="0" xfId="0" applyNumberFormat="1" applyFont="1" applyFill="1" applyAlignment="1">
      <alignment horizontal="center"/>
    </xf>
    <xf numFmtId="165" fontId="21" fillId="2" borderId="0" xfId="0" applyNumberFormat="1" applyFont="1" applyFill="1" applyAlignment="1">
      <alignment horizontal="center"/>
    </xf>
    <xf numFmtId="14" fontId="8" fillId="3" borderId="0" xfId="0" applyNumberFormat="1" applyFont="1" applyFill="1" applyAlignment="1">
      <alignment horizontal="center"/>
    </xf>
    <xf numFmtId="0" fontId="8" fillId="0" borderId="0" xfId="0" applyFont="1" applyAlignment="1">
      <alignment wrapText="1"/>
    </xf>
    <xf numFmtId="3" fontId="8" fillId="0" borderId="0" xfId="0" applyNumberFormat="1" applyFont="1" applyAlignment="1">
      <alignment horizontal="center" vertical="center"/>
    </xf>
    <xf numFmtId="0" fontId="10" fillId="3" borderId="0" xfId="0" applyFont="1" applyFill="1" applyAlignment="1">
      <alignment horizontal="center" wrapText="1"/>
    </xf>
    <xf numFmtId="3" fontId="22" fillId="3" borderId="0" xfId="0" applyNumberFormat="1" applyFont="1" applyFill="1" applyAlignment="1">
      <alignment vertical="center"/>
    </xf>
    <xf numFmtId="0" fontId="9" fillId="0" borderId="0" xfId="0" applyFont="1" applyAlignment="1">
      <alignment vertical="center"/>
    </xf>
    <xf numFmtId="3" fontId="7" fillId="4" borderId="0" xfId="0" applyNumberFormat="1" applyFont="1" applyFill="1" applyAlignment="1">
      <alignment horizontal="center" vertical="center"/>
    </xf>
    <xf numFmtId="10" fontId="21" fillId="3" borderId="0" xfId="0" applyNumberFormat="1" applyFont="1" applyFill="1" applyAlignment="1">
      <alignment horizontal="center" vertical="center"/>
    </xf>
    <xf numFmtId="3" fontId="18" fillId="0" borderId="0" xfId="0" applyNumberFormat="1" applyFont="1"/>
    <xf numFmtId="3" fontId="15" fillId="3" borderId="0" xfId="0" applyNumberFormat="1" applyFont="1" applyFill="1" applyAlignment="1">
      <alignment horizontal="center" vertical="center"/>
    </xf>
    <xf numFmtId="9" fontId="21" fillId="3" borderId="0" xfId="0" applyNumberFormat="1" applyFont="1" applyFill="1" applyAlignment="1">
      <alignment horizontal="center" vertical="center"/>
    </xf>
    <xf numFmtId="1" fontId="9" fillId="0" borderId="0" xfId="0" applyNumberFormat="1" applyFont="1" applyAlignment="1">
      <alignment horizontal="center"/>
    </xf>
    <xf numFmtId="1" fontId="14" fillId="0" borderId="0" xfId="0" applyNumberFormat="1" applyFont="1" applyAlignment="1">
      <alignment horizontal="center"/>
    </xf>
    <xf numFmtId="9" fontId="14" fillId="0" borderId="0" xfId="0" applyNumberFormat="1" applyFont="1" applyAlignment="1">
      <alignment horizontal="center"/>
    </xf>
    <xf numFmtId="14" fontId="8" fillId="2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9" fontId="15" fillId="2" borderId="0" xfId="0" applyNumberFormat="1" applyFont="1" applyFill="1" applyAlignment="1">
      <alignment horizontal="center" vertical="center"/>
    </xf>
    <xf numFmtId="167" fontId="8" fillId="3" borderId="0" xfId="0" applyNumberFormat="1" applyFont="1" applyFill="1" applyAlignment="1">
      <alignment horizontal="center" vertical="center"/>
    </xf>
    <xf numFmtId="3" fontId="21" fillId="3" borderId="0" xfId="0" applyNumberFormat="1" applyFont="1" applyFill="1" applyAlignment="1">
      <alignment horizontal="center" vertical="center"/>
    </xf>
    <xf numFmtId="0" fontId="23" fillId="4" borderId="0" xfId="0" applyFont="1" applyFill="1" applyAlignment="1">
      <alignment wrapText="1"/>
    </xf>
    <xf numFmtId="0" fontId="21" fillId="3" borderId="0" xfId="0" applyFont="1" applyFill="1"/>
    <xf numFmtId="165" fontId="21" fillId="3" borderId="0" xfId="4" applyNumberFormat="1" applyFont="1" applyFill="1" applyBorder="1" applyAlignment="1">
      <alignment horizontal="center"/>
    </xf>
    <xf numFmtId="169" fontId="21" fillId="3" borderId="0" xfId="0" applyNumberFormat="1" applyFont="1" applyFill="1" applyAlignment="1">
      <alignment horizontal="center"/>
    </xf>
    <xf numFmtId="0" fontId="34" fillId="0" borderId="0" xfId="0" applyFont="1"/>
    <xf numFmtId="166" fontId="34" fillId="0" borderId="0" xfId="0" quotePrefix="1" applyNumberFormat="1" applyFont="1" applyAlignment="1">
      <alignment horizontal="center"/>
    </xf>
    <xf numFmtId="0" fontId="35" fillId="0" borderId="0" xfId="0" applyFont="1"/>
    <xf numFmtId="0" fontId="36" fillId="4" borderId="0" xfId="0" applyFont="1" applyFill="1"/>
    <xf numFmtId="0" fontId="36" fillId="4" borderId="0" xfId="0" applyFont="1" applyFill="1" applyAlignment="1">
      <alignment horizontal="center"/>
    </xf>
    <xf numFmtId="0" fontId="37" fillId="3" borderId="0" xfId="0" applyFont="1" applyFill="1"/>
    <xf numFmtId="3" fontId="37" fillId="3" borderId="0" xfId="0" applyNumberFormat="1" applyFont="1" applyFill="1" applyAlignment="1">
      <alignment horizontal="center"/>
    </xf>
    <xf numFmtId="9" fontId="37" fillId="3" borderId="0" xfId="4" applyFont="1" applyFill="1" applyBorder="1" applyAlignment="1">
      <alignment horizontal="center"/>
    </xf>
    <xf numFmtId="9" fontId="37" fillId="3" borderId="0" xfId="0" applyNumberFormat="1" applyFont="1" applyFill="1" applyAlignment="1">
      <alignment horizontal="center"/>
    </xf>
    <xf numFmtId="1" fontId="37" fillId="3" borderId="0" xfId="0" applyNumberFormat="1" applyFont="1" applyFill="1" applyAlignment="1">
      <alignment horizontal="center"/>
    </xf>
    <xf numFmtId="0" fontId="38" fillId="0" borderId="0" xfId="0" applyFont="1"/>
    <xf numFmtId="0" fontId="37" fillId="0" borderId="0" xfId="0" applyFont="1"/>
    <xf numFmtId="3" fontId="21" fillId="3" borderId="0" xfId="0" applyNumberFormat="1" applyFont="1" applyFill="1" applyAlignment="1">
      <alignment horizontal="center"/>
    </xf>
    <xf numFmtId="0" fontId="39" fillId="0" borderId="0" xfId="6" applyFont="1"/>
    <xf numFmtId="9" fontId="21" fillId="0" borderId="0" xfId="0" applyNumberFormat="1" applyFont="1"/>
    <xf numFmtId="3" fontId="23" fillId="4" borderId="0" xfId="0" applyNumberFormat="1" applyFont="1" applyFill="1" applyAlignment="1">
      <alignment horizontal="center"/>
    </xf>
    <xf numFmtId="0" fontId="39" fillId="3" borderId="0" xfId="6" applyFont="1" applyFill="1" applyAlignment="1">
      <alignment horizontal="left"/>
    </xf>
    <xf numFmtId="0" fontId="21" fillId="3" borderId="0" xfId="6" applyFont="1" applyFill="1" applyAlignment="1">
      <alignment horizontal="center"/>
    </xf>
    <xf numFmtId="3" fontId="39" fillId="3" borderId="0" xfId="0" applyNumberFormat="1" applyFont="1" applyFill="1" applyAlignment="1">
      <alignment horizontal="center"/>
    </xf>
    <xf numFmtId="0" fontId="21" fillId="3" borderId="0" xfId="6" applyFont="1" applyFill="1" applyAlignment="1">
      <alignment horizontal="left"/>
    </xf>
    <xf numFmtId="0" fontId="39" fillId="3" borderId="0" xfId="6" applyFont="1" applyFill="1" applyAlignment="1">
      <alignment horizontal="center"/>
    </xf>
    <xf numFmtId="0" fontId="39" fillId="3" borderId="0" xfId="6" applyFont="1" applyFill="1"/>
    <xf numFmtId="0" fontId="21" fillId="3" borderId="0" xfId="6" applyFont="1" applyFill="1"/>
    <xf numFmtId="0" fontId="21" fillId="0" borderId="0" xfId="8" applyFont="1"/>
    <xf numFmtId="3" fontId="21" fillId="0" borderId="0" xfId="0" applyNumberFormat="1" applyFont="1"/>
    <xf numFmtId="3" fontId="21" fillId="3" borderId="0" xfId="0" applyNumberFormat="1" applyFont="1" applyFill="1" applyAlignment="1">
      <alignment horizontal="left"/>
    </xf>
    <xf numFmtId="170" fontId="21" fillId="3" borderId="0" xfId="0" applyNumberFormat="1" applyFont="1" applyFill="1" applyAlignment="1">
      <alignment horizontal="center"/>
    </xf>
    <xf numFmtId="3" fontId="21" fillId="0" borderId="0" xfId="9" applyNumberFormat="1" applyFont="1" applyFill="1" applyBorder="1" applyAlignment="1">
      <alignment horizontal="center"/>
    </xf>
    <xf numFmtId="0" fontId="21" fillId="0" borderId="0" xfId="6" applyFont="1"/>
    <xf numFmtId="3" fontId="39" fillId="0" borderId="0" xfId="0" applyNumberFormat="1" applyFont="1" applyAlignment="1">
      <alignment horizontal="center"/>
    </xf>
    <xf numFmtId="3" fontId="21" fillId="2" borderId="0" xfId="0" applyNumberFormat="1" applyFont="1" applyFill="1" applyAlignment="1">
      <alignment horizontal="center"/>
    </xf>
    <xf numFmtId="0" fontId="39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8" fillId="3" borderId="0" xfId="0" applyFont="1" applyFill="1" applyAlignment="1">
      <alignment wrapText="1"/>
    </xf>
    <xf numFmtId="0" fontId="40" fillId="0" borderId="0" xfId="0" applyFont="1"/>
    <xf numFmtId="167" fontId="40" fillId="0" borderId="0" xfId="0" applyNumberFormat="1" applyFont="1" applyAlignment="1">
      <alignment horizontal="center"/>
    </xf>
    <xf numFmtId="9" fontId="42" fillId="5" borderId="0" xfId="0" applyNumberFormat="1" applyFont="1" applyFill="1" applyAlignment="1">
      <alignment horizontal="center" vertical="center"/>
    </xf>
    <xf numFmtId="9" fontId="40" fillId="0" borderId="0" xfId="4" applyFont="1" applyBorder="1"/>
    <xf numFmtId="0" fontId="21" fillId="5" borderId="0" xfId="0" applyFont="1" applyFill="1" applyAlignment="1">
      <alignment vertical="center" wrapText="1"/>
    </xf>
    <xf numFmtId="0" fontId="18" fillId="0" borderId="0" xfId="0" applyFont="1"/>
    <xf numFmtId="9" fontId="44" fillId="0" borderId="0" xfId="4" applyFont="1" applyFill="1" applyBorder="1"/>
    <xf numFmtId="0" fontId="15" fillId="2" borderId="0" xfId="0" applyFont="1" applyFill="1" applyAlignment="1">
      <alignment horizontal="center" vertical="center"/>
    </xf>
    <xf numFmtId="3" fontId="42" fillId="6" borderId="0" xfId="0" applyNumberFormat="1" applyFont="1" applyFill="1" applyAlignment="1">
      <alignment horizontal="center" vertical="center"/>
    </xf>
    <xf numFmtId="3" fontId="43" fillId="6" borderId="0" xfId="0" applyNumberFormat="1" applyFont="1" applyFill="1" applyAlignment="1">
      <alignment horizontal="center" vertical="center"/>
    </xf>
    <xf numFmtId="9" fontId="8" fillId="3" borderId="0" xfId="4" applyFont="1" applyFill="1" applyBorder="1" applyAlignment="1">
      <alignment horizontal="center" vertical="center"/>
    </xf>
    <xf numFmtId="0" fontId="26" fillId="0" borderId="0" xfId="0" applyFont="1"/>
    <xf numFmtId="1" fontId="12" fillId="0" borderId="0" xfId="0" applyNumberFormat="1" applyFont="1"/>
    <xf numFmtId="0" fontId="45" fillId="3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 vertical="center"/>
    </xf>
    <xf numFmtId="9" fontId="8" fillId="2" borderId="0" xfId="4" applyFont="1" applyFill="1" applyBorder="1" applyAlignment="1">
      <alignment horizontal="center"/>
    </xf>
    <xf numFmtId="9" fontId="8" fillId="3" borderId="0" xfId="4" applyFont="1" applyFill="1" applyBorder="1" applyAlignment="1">
      <alignment wrapText="1"/>
    </xf>
    <xf numFmtId="9" fontId="8" fillId="3" borderId="0" xfId="4" applyFont="1" applyFill="1" applyBorder="1" applyAlignment="1">
      <alignment horizontal="center" wrapText="1"/>
    </xf>
    <xf numFmtId="4" fontId="8" fillId="3" borderId="0" xfId="6" applyNumberFormat="1" applyFont="1" applyFill="1" applyAlignment="1">
      <alignment horizontal="center"/>
    </xf>
    <xf numFmtId="2" fontId="37" fillId="3" borderId="0" xfId="0" applyNumberFormat="1" applyFont="1" applyFill="1" applyAlignment="1">
      <alignment horizontal="center"/>
    </xf>
    <xf numFmtId="0" fontId="47" fillId="0" borderId="0" xfId="0" applyFont="1"/>
    <xf numFmtId="0" fontId="21" fillId="0" borderId="0" xfId="0" applyFont="1" applyAlignment="1">
      <alignment horizontal="center"/>
    </xf>
    <xf numFmtId="0" fontId="23" fillId="4" borderId="0" xfId="0" applyFont="1" applyFill="1" applyAlignment="1">
      <alignment horizontal="left" wrapText="1"/>
    </xf>
    <xf numFmtId="9" fontId="21" fillId="2" borderId="0" xfId="0" applyNumberFormat="1" applyFont="1" applyFill="1" applyAlignment="1">
      <alignment horizontal="center"/>
    </xf>
    <xf numFmtId="0" fontId="23" fillId="4" borderId="0" xfId="0" applyFont="1" applyFill="1" applyAlignment="1">
      <alignment horizontal="left"/>
    </xf>
    <xf numFmtId="10" fontId="8" fillId="3" borderId="0" xfId="0" applyNumberFormat="1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9" fontId="8" fillId="3" borderId="0" xfId="0" applyNumberFormat="1" applyFont="1" applyFill="1" applyAlignment="1">
      <alignment horizontal="center" vertical="center"/>
    </xf>
    <xf numFmtId="3" fontId="20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right"/>
    </xf>
    <xf numFmtId="9" fontId="15" fillId="2" borderId="0" xfId="14" applyFont="1" applyFill="1" applyBorder="1" applyAlignment="1">
      <alignment horizontal="center" vertical="center"/>
    </xf>
    <xf numFmtId="3" fontId="15" fillId="3" borderId="0" xfId="0" applyNumberFormat="1" applyFont="1" applyFill="1" applyAlignment="1">
      <alignment horizontal="center"/>
    </xf>
    <xf numFmtId="9" fontId="42" fillId="6" borderId="0" xfId="0" applyNumberFormat="1" applyFont="1" applyFill="1" applyAlignment="1">
      <alignment horizontal="center" vertical="center"/>
    </xf>
    <xf numFmtId="0" fontId="48" fillId="3" borderId="0" xfId="0" applyFont="1" applyFill="1" applyAlignment="1">
      <alignment horizontal="center" vertical="center" wrapText="1"/>
    </xf>
    <xf numFmtId="0" fontId="3" fillId="3" borderId="0" xfId="10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17" fontId="11" fillId="0" borderId="0" xfId="5" applyNumberFormat="1" applyFont="1" applyAlignment="1">
      <alignment horizontal="center" vertical="center"/>
    </xf>
    <xf numFmtId="0" fontId="15" fillId="3" borderId="0" xfId="0" applyFont="1" applyFill="1" applyAlignment="1">
      <alignment wrapText="1"/>
    </xf>
    <xf numFmtId="3" fontId="8" fillId="3" borderId="0" xfId="12" applyNumberFormat="1" applyFont="1" applyFill="1" applyAlignment="1">
      <alignment horizontal="center"/>
    </xf>
    <xf numFmtId="165" fontId="8" fillId="2" borderId="0" xfId="12" applyNumberFormat="1" applyFont="1" applyFill="1" applyAlignment="1">
      <alignment horizontal="center"/>
    </xf>
    <xf numFmtId="171" fontId="8" fillId="3" borderId="0" xfId="13" applyNumberFormat="1" applyFont="1" applyFill="1" applyBorder="1" applyAlignment="1">
      <alignment horizontal="center"/>
    </xf>
    <xf numFmtId="3" fontId="10" fillId="3" borderId="0" xfId="12" applyNumberFormat="1" applyFont="1" applyFill="1" applyAlignment="1">
      <alignment horizontal="center"/>
    </xf>
    <xf numFmtId="0" fontId="8" fillId="2" borderId="0" xfId="12" applyFont="1" applyFill="1" applyAlignment="1">
      <alignment horizontal="center"/>
    </xf>
    <xf numFmtId="3" fontId="8" fillId="3" borderId="0" xfId="9" applyNumberFormat="1" applyFont="1" applyFill="1" applyBorder="1" applyAlignment="1">
      <alignment horizontal="center"/>
    </xf>
    <xf numFmtId="3" fontId="7" fillId="4" borderId="0" xfId="9" applyNumberFormat="1" applyFont="1" applyFill="1" applyBorder="1" applyAlignment="1">
      <alignment horizontal="center"/>
    </xf>
    <xf numFmtId="0" fontId="10" fillId="3" borderId="0" xfId="0" applyFont="1" applyFill="1" applyAlignment="1">
      <alignment wrapText="1"/>
    </xf>
    <xf numFmtId="3" fontId="10" fillId="3" borderId="0" xfId="9" applyNumberFormat="1" applyFont="1" applyFill="1" applyBorder="1" applyAlignment="1">
      <alignment horizontal="center"/>
    </xf>
    <xf numFmtId="3" fontId="8" fillId="2" borderId="0" xfId="9" applyNumberFormat="1" applyFont="1" applyFill="1" applyBorder="1" applyAlignment="1">
      <alignment horizontal="center"/>
    </xf>
    <xf numFmtId="0" fontId="14" fillId="3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9" fillId="3" borderId="0" xfId="0" applyFont="1" applyFill="1"/>
    <xf numFmtId="0" fontId="8" fillId="3" borderId="0" xfId="6" applyFont="1" applyFill="1" applyAlignment="1">
      <alignment horizontal="right"/>
    </xf>
    <xf numFmtId="3" fontId="49" fillId="3" borderId="0" xfId="0" applyNumberFormat="1" applyFont="1" applyFill="1" applyAlignment="1">
      <alignment horizontal="center"/>
    </xf>
    <xf numFmtId="0" fontId="7" fillId="4" borderId="0" xfId="0" applyFont="1" applyFill="1" applyAlignment="1">
      <alignment horizontal="center" vertical="center" wrapText="1"/>
    </xf>
    <xf numFmtId="0" fontId="18" fillId="3" borderId="0" xfId="0" applyFont="1" applyFill="1" applyAlignment="1">
      <alignment horizontal="center" wrapText="1"/>
    </xf>
    <xf numFmtId="0" fontId="7" fillId="4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vertical="center" wrapText="1"/>
    </xf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left" vertical="center" wrapText="1"/>
    </xf>
    <xf numFmtId="10" fontId="41" fillId="3" borderId="0" xfId="4" applyNumberFormat="1" applyFont="1" applyFill="1" applyBorder="1" applyAlignment="1">
      <alignment horizontal="center"/>
    </xf>
    <xf numFmtId="0" fontId="50" fillId="4" borderId="0" xfId="0" applyFont="1" applyFill="1" applyAlignment="1">
      <alignment horizontal="center" vertical="center" wrapText="1"/>
    </xf>
    <xf numFmtId="0" fontId="51" fillId="3" borderId="0" xfId="0" applyFont="1" applyFill="1"/>
    <xf numFmtId="0" fontId="51" fillId="3" borderId="0" xfId="6" applyFont="1" applyFill="1" applyAlignment="1">
      <alignment horizontal="center"/>
    </xf>
    <xf numFmtId="3" fontId="51" fillId="3" borderId="0" xfId="6" applyNumberFormat="1" applyFont="1" applyFill="1" applyAlignment="1">
      <alignment horizontal="center"/>
    </xf>
    <xf numFmtId="9" fontId="9" fillId="0" borderId="0" xfId="4" applyFont="1"/>
  </cellXfs>
  <cellStyles count="135">
    <cellStyle name="Normal 2 3 4" xfId="106" xr:uid="{00000000-0005-0000-0000-000000000000}"/>
    <cellStyle name="Гиперссылка" xfId="10" builtinId="8"/>
    <cellStyle name="Денежный 2" xfId="107" xr:uid="{00000000-0005-0000-0000-000002000000}"/>
    <cellStyle name="Обычный" xfId="0" builtinId="0"/>
    <cellStyle name="Обычный 2" xfId="1" xr:uid="{00000000-0005-0000-0000-000004000000}"/>
    <cellStyle name="Обычный 2 2" xfId="11" xr:uid="{00000000-0005-0000-0000-000005000000}"/>
    <cellStyle name="Обычный 2 3" xfId="5" xr:uid="{00000000-0005-0000-0000-000006000000}"/>
    <cellStyle name="Обычный 2 3 2" xfId="18" xr:uid="{00000000-0005-0000-0000-000007000000}"/>
    <cellStyle name="Обычный 2 3 2 2" xfId="19" xr:uid="{00000000-0005-0000-0000-000008000000}"/>
    <cellStyle name="Обычный 2 3 3" xfId="20" xr:uid="{00000000-0005-0000-0000-000009000000}"/>
    <cellStyle name="Обычный 2 3 4" xfId="21" xr:uid="{00000000-0005-0000-0000-00000A000000}"/>
    <cellStyle name="Обычный 2 4" xfId="22" xr:uid="{00000000-0005-0000-0000-00000B000000}"/>
    <cellStyle name="Обычный 2 4 2" xfId="23" xr:uid="{00000000-0005-0000-0000-00000C000000}"/>
    <cellStyle name="Обычный 2 4 2 2" xfId="108" xr:uid="{00000000-0005-0000-0000-00000D000000}"/>
    <cellStyle name="Обычный 2 4 2 2 2" xfId="24" xr:uid="{00000000-0005-0000-0000-00000E000000}"/>
    <cellStyle name="Обычный 2 4 3" xfId="25" xr:uid="{00000000-0005-0000-0000-00000F000000}"/>
    <cellStyle name="Обычный 2 4 3 2" xfId="26" xr:uid="{00000000-0005-0000-0000-000010000000}"/>
    <cellStyle name="Обычный 2 4 3 3" xfId="27" xr:uid="{00000000-0005-0000-0000-000011000000}"/>
    <cellStyle name="Обычный 2 4 3 5 2" xfId="28" xr:uid="{00000000-0005-0000-0000-000012000000}"/>
    <cellStyle name="Обычный 2 4 3 6" xfId="29" xr:uid="{00000000-0005-0000-0000-000013000000}"/>
    <cellStyle name="Обычный 2 5" xfId="30" xr:uid="{00000000-0005-0000-0000-000014000000}"/>
    <cellStyle name="Обычный 2 5 2" xfId="31" xr:uid="{00000000-0005-0000-0000-000015000000}"/>
    <cellStyle name="Обычный 2 5 2 2" xfId="32" xr:uid="{00000000-0005-0000-0000-000016000000}"/>
    <cellStyle name="Обычный 2 5 2 2 3" xfId="33" xr:uid="{00000000-0005-0000-0000-000017000000}"/>
    <cellStyle name="Обычный 2 6" xfId="34" xr:uid="{00000000-0005-0000-0000-000018000000}"/>
    <cellStyle name="Обычный 2 7" xfId="35" xr:uid="{00000000-0005-0000-0000-000019000000}"/>
    <cellStyle name="Обычный 2 9" xfId="36" xr:uid="{00000000-0005-0000-0000-00001A000000}"/>
    <cellStyle name="Обычный 3" xfId="37" xr:uid="{00000000-0005-0000-0000-00001B000000}"/>
    <cellStyle name="Обычный 3 2" xfId="38" xr:uid="{00000000-0005-0000-0000-00001C000000}"/>
    <cellStyle name="Обычный 3 2 2" xfId="39" xr:uid="{00000000-0005-0000-0000-00001D000000}"/>
    <cellStyle name="Обычный 3 2 3" xfId="40" xr:uid="{00000000-0005-0000-0000-00001E000000}"/>
    <cellStyle name="Обычный 3 2 3 2" xfId="41" xr:uid="{00000000-0005-0000-0000-00001F000000}"/>
    <cellStyle name="Обычный 3 2 3 2 2" xfId="8" xr:uid="{00000000-0005-0000-0000-000020000000}"/>
    <cellStyle name="Обычный 3 2 3 2 2 2 2 2" xfId="42" xr:uid="{00000000-0005-0000-0000-000021000000}"/>
    <cellStyle name="Обычный 3 2 3 2 2 2 2 2 2 3" xfId="43" xr:uid="{00000000-0005-0000-0000-000022000000}"/>
    <cellStyle name="Обычный 3 2 3 2 3" xfId="44" xr:uid="{00000000-0005-0000-0000-000023000000}"/>
    <cellStyle name="Обычный 3 2 3 2 3 2 2 2" xfId="45" xr:uid="{00000000-0005-0000-0000-000024000000}"/>
    <cellStyle name="Обычный 3 3" xfId="46" xr:uid="{00000000-0005-0000-0000-000025000000}"/>
    <cellStyle name="Обычный 3 4" xfId="47" xr:uid="{00000000-0005-0000-0000-000026000000}"/>
    <cellStyle name="Обычный 3 5" xfId="48" xr:uid="{00000000-0005-0000-0000-000027000000}"/>
    <cellStyle name="Обычный 3 6" xfId="49" xr:uid="{00000000-0005-0000-0000-000028000000}"/>
    <cellStyle name="Обычный 3 6 2" xfId="6" xr:uid="{00000000-0005-0000-0000-000029000000}"/>
    <cellStyle name="Обычный 3 6 2 2 3" xfId="50" xr:uid="{00000000-0005-0000-0000-00002A000000}"/>
    <cellStyle name="Обычный 3 6 2 3 2 2" xfId="51" xr:uid="{00000000-0005-0000-0000-00002B000000}"/>
    <cellStyle name="Обычный 3 6 2 3 4" xfId="52" xr:uid="{00000000-0005-0000-0000-00002C000000}"/>
    <cellStyle name="Обычный 3 7 3" xfId="53" xr:uid="{00000000-0005-0000-0000-00002D000000}"/>
    <cellStyle name="Обычный 3 7 4" xfId="54" xr:uid="{00000000-0005-0000-0000-00002E000000}"/>
    <cellStyle name="Обычный 3 8 2 2" xfId="17" xr:uid="{00000000-0005-0000-0000-00002F000000}"/>
    <cellStyle name="Обычный 3 8 3" xfId="55" xr:uid="{00000000-0005-0000-0000-000030000000}"/>
    <cellStyle name="Обычный 4" xfId="56" xr:uid="{00000000-0005-0000-0000-000031000000}"/>
    <cellStyle name="Обычный 4 2" xfId="57" xr:uid="{00000000-0005-0000-0000-000032000000}"/>
    <cellStyle name="Обычный 4 2 2" xfId="58" xr:uid="{00000000-0005-0000-0000-000033000000}"/>
    <cellStyle name="Обычный 4 2 2 3" xfId="59" xr:uid="{00000000-0005-0000-0000-000034000000}"/>
    <cellStyle name="Обычный 4 2 2 3 2" xfId="60" xr:uid="{00000000-0005-0000-0000-000035000000}"/>
    <cellStyle name="Обычный 4 2 2 3 2 2" xfId="61" xr:uid="{00000000-0005-0000-0000-000036000000}"/>
    <cellStyle name="Обычный 4 2 2 3 2 2 2" xfId="15" xr:uid="{00000000-0005-0000-0000-000037000000}"/>
    <cellStyle name="Обычный 4 2 2 3 2 3 3" xfId="62" xr:uid="{00000000-0005-0000-0000-000038000000}"/>
    <cellStyle name="Обычный 4 2 2 3 3" xfId="63" xr:uid="{00000000-0005-0000-0000-000039000000}"/>
    <cellStyle name="Обычный 4 2 3" xfId="64" xr:uid="{00000000-0005-0000-0000-00003A000000}"/>
    <cellStyle name="Обычный 4 2 4" xfId="65" xr:uid="{00000000-0005-0000-0000-00003B000000}"/>
    <cellStyle name="Обычный 4 2 5" xfId="66" xr:uid="{00000000-0005-0000-0000-00003C000000}"/>
    <cellStyle name="Обычный 4 2 6" xfId="67" xr:uid="{00000000-0005-0000-0000-00003D000000}"/>
    <cellStyle name="Обычный 4 2 6 2" xfId="68" xr:uid="{00000000-0005-0000-0000-00003E000000}"/>
    <cellStyle name="Обычный 4 2 6 2 2" xfId="69" xr:uid="{00000000-0005-0000-0000-00003F000000}"/>
    <cellStyle name="Обычный 4 2 6 2 2 2" xfId="16" xr:uid="{00000000-0005-0000-0000-000040000000}"/>
    <cellStyle name="Обычный 4 2 6 2 3 3" xfId="70" xr:uid="{00000000-0005-0000-0000-000041000000}"/>
    <cellStyle name="Обычный 4 2 6 3" xfId="71" xr:uid="{00000000-0005-0000-0000-000042000000}"/>
    <cellStyle name="Обычный 4 2 6 3 2" xfId="72" xr:uid="{00000000-0005-0000-0000-000043000000}"/>
    <cellStyle name="Обычный 4 2 6 3 2 2" xfId="73" xr:uid="{00000000-0005-0000-0000-000044000000}"/>
    <cellStyle name="Обычный 4 2 6 3 3 3" xfId="74" xr:uid="{00000000-0005-0000-0000-000045000000}"/>
    <cellStyle name="Обычный 4 2 6 4" xfId="75" xr:uid="{00000000-0005-0000-0000-000046000000}"/>
    <cellStyle name="Обычный 5" xfId="12" xr:uid="{00000000-0005-0000-0000-000047000000}"/>
    <cellStyle name="Обычный 5 2" xfId="109" xr:uid="{00000000-0005-0000-0000-000048000000}"/>
    <cellStyle name="Обычный 6" xfId="76" xr:uid="{00000000-0005-0000-0000-000049000000}"/>
    <cellStyle name="Обычный 6 2" xfId="77" xr:uid="{00000000-0005-0000-0000-00004A000000}"/>
    <cellStyle name="Обычный 7" xfId="110" xr:uid="{00000000-0005-0000-0000-00004B000000}"/>
    <cellStyle name="Обычный 8" xfId="134" xr:uid="{00000000-0005-0000-0000-00004C000000}"/>
    <cellStyle name="Процентный" xfId="4" builtinId="5"/>
    <cellStyle name="Процентный 2" xfId="2" xr:uid="{00000000-0005-0000-0000-00004E000000}"/>
    <cellStyle name="Процентный 2 2" xfId="78" xr:uid="{00000000-0005-0000-0000-00004F000000}"/>
    <cellStyle name="Процентный 2 2 2" xfId="79" xr:uid="{00000000-0005-0000-0000-000050000000}"/>
    <cellStyle name="Процентный 2 2 2 2" xfId="111" xr:uid="{00000000-0005-0000-0000-000051000000}"/>
    <cellStyle name="Процентный 2 2 3" xfId="80" xr:uid="{00000000-0005-0000-0000-000052000000}"/>
    <cellStyle name="Процентный 2 2 3 2" xfId="112" xr:uid="{00000000-0005-0000-0000-000053000000}"/>
    <cellStyle name="Процентный 2 2 4" xfId="113" xr:uid="{00000000-0005-0000-0000-000054000000}"/>
    <cellStyle name="Процентный 2 3" xfId="81" xr:uid="{00000000-0005-0000-0000-000055000000}"/>
    <cellStyle name="Процентный 2 3 2" xfId="114" xr:uid="{00000000-0005-0000-0000-000056000000}"/>
    <cellStyle name="Процентный 2 4" xfId="82" xr:uid="{00000000-0005-0000-0000-000057000000}"/>
    <cellStyle name="Процентный 2 4 2" xfId="83" xr:uid="{00000000-0005-0000-0000-000058000000}"/>
    <cellStyle name="Процентный 2 4 2 2" xfId="115" xr:uid="{00000000-0005-0000-0000-000059000000}"/>
    <cellStyle name="Процентный 2 4 3" xfId="84" xr:uid="{00000000-0005-0000-0000-00005A000000}"/>
    <cellStyle name="Процентный 2 4 4" xfId="116" xr:uid="{00000000-0005-0000-0000-00005B000000}"/>
    <cellStyle name="Процентный 2 5" xfId="85" xr:uid="{00000000-0005-0000-0000-00005C000000}"/>
    <cellStyle name="Процентный 2 5 2" xfId="117" xr:uid="{00000000-0005-0000-0000-00005D000000}"/>
    <cellStyle name="Процентный 2 6" xfId="86" xr:uid="{00000000-0005-0000-0000-00005E000000}"/>
    <cellStyle name="Процентный 2 6 2" xfId="87" xr:uid="{00000000-0005-0000-0000-00005F000000}"/>
    <cellStyle name="Процентный 2 6 2 2" xfId="118" xr:uid="{00000000-0005-0000-0000-000060000000}"/>
    <cellStyle name="Процентный 2 6 2 2 3" xfId="88" xr:uid="{00000000-0005-0000-0000-000061000000}"/>
    <cellStyle name="Процентный 2 6 3" xfId="119" xr:uid="{00000000-0005-0000-0000-000062000000}"/>
    <cellStyle name="Процентный 2 7" xfId="89" xr:uid="{00000000-0005-0000-0000-000063000000}"/>
    <cellStyle name="Процентный 2 7 2" xfId="120" xr:uid="{00000000-0005-0000-0000-000064000000}"/>
    <cellStyle name="Процентный 2 8" xfId="90" xr:uid="{00000000-0005-0000-0000-000065000000}"/>
    <cellStyle name="Процентный 2 9" xfId="121" xr:uid="{00000000-0005-0000-0000-000066000000}"/>
    <cellStyle name="Процентный 3" xfId="14" xr:uid="{00000000-0005-0000-0000-000067000000}"/>
    <cellStyle name="Процентный 3 2" xfId="91" xr:uid="{00000000-0005-0000-0000-000068000000}"/>
    <cellStyle name="Процентный 3 2 2" xfId="92" xr:uid="{00000000-0005-0000-0000-000069000000}"/>
    <cellStyle name="Процентный 3 2 2 2" xfId="122" xr:uid="{00000000-0005-0000-0000-00006A000000}"/>
    <cellStyle name="Процентный 3 2 3" xfId="93" xr:uid="{00000000-0005-0000-0000-00006B000000}"/>
    <cellStyle name="Процентный 3 2 3 2" xfId="123" xr:uid="{00000000-0005-0000-0000-00006C000000}"/>
    <cellStyle name="Процентный 3 2 4" xfId="94" xr:uid="{00000000-0005-0000-0000-00006D000000}"/>
    <cellStyle name="Процентный 3 2 4 2" xfId="124" xr:uid="{00000000-0005-0000-0000-00006E000000}"/>
    <cellStyle name="Процентный 3 2 5" xfId="95" xr:uid="{00000000-0005-0000-0000-00006F000000}"/>
    <cellStyle name="Процентный 3 2 5 2" xfId="125" xr:uid="{00000000-0005-0000-0000-000070000000}"/>
    <cellStyle name="Процентный 3 2 6" xfId="126" xr:uid="{00000000-0005-0000-0000-000071000000}"/>
    <cellStyle name="Процентный 3 3" xfId="96" xr:uid="{00000000-0005-0000-0000-000072000000}"/>
    <cellStyle name="Процентный 3 3 2" xfId="7" xr:uid="{00000000-0005-0000-0000-000073000000}"/>
    <cellStyle name="Процентный 3 3 2 2" xfId="127" xr:uid="{00000000-0005-0000-0000-000074000000}"/>
    <cellStyle name="Процентный 3 3 2 2 3" xfId="97" xr:uid="{00000000-0005-0000-0000-000075000000}"/>
    <cellStyle name="Процентный 3 3 2 3 2 2" xfId="98" xr:uid="{00000000-0005-0000-0000-000076000000}"/>
    <cellStyle name="Процентный 3 3 2 3 3" xfId="99" xr:uid="{00000000-0005-0000-0000-000077000000}"/>
    <cellStyle name="Процентный 3 3 3" xfId="100" xr:uid="{00000000-0005-0000-0000-000078000000}"/>
    <cellStyle name="Процентный 3 3 3 2" xfId="128" xr:uid="{00000000-0005-0000-0000-000079000000}"/>
    <cellStyle name="Процентный 3 3 3 2 2 2" xfId="101" xr:uid="{00000000-0005-0000-0000-00007A000000}"/>
    <cellStyle name="Процентный 3 3 4" xfId="129" xr:uid="{00000000-0005-0000-0000-00007B000000}"/>
    <cellStyle name="Процентный 3 4" xfId="130" xr:uid="{00000000-0005-0000-0000-00007C000000}"/>
    <cellStyle name="Процентный 3 4 3" xfId="102" xr:uid="{00000000-0005-0000-0000-00007D000000}"/>
    <cellStyle name="Процентный 3 5 3" xfId="103" xr:uid="{00000000-0005-0000-0000-00007E000000}"/>
    <cellStyle name="Процентный 3 6" xfId="104" xr:uid="{00000000-0005-0000-0000-00007F000000}"/>
    <cellStyle name="Процентный 4" xfId="13" xr:uid="{00000000-0005-0000-0000-000080000000}"/>
    <cellStyle name="Процентный 4 2" xfId="131" xr:uid="{00000000-0005-0000-0000-000081000000}"/>
    <cellStyle name="Процентный 5" xfId="132" xr:uid="{00000000-0005-0000-0000-000082000000}"/>
    <cellStyle name="Финансовый" xfId="9" builtinId="3"/>
    <cellStyle name="Финансовый 2" xfId="3" xr:uid="{00000000-0005-0000-0000-000084000000}"/>
    <cellStyle name="Финансовый 2 2" xfId="133" xr:uid="{00000000-0005-0000-0000-000085000000}"/>
    <cellStyle name="Финансовый 3" xfId="105" xr:uid="{00000000-0005-0000-0000-000086000000}"/>
  </cellStyles>
  <dxfs count="3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ru-RU" sz="1100"/>
              <a:t>Сезонность цен </a:t>
            </a:r>
            <a:endParaRPr lang="ru-RU" sz="1100" baseline="0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1759186351706"/>
          <c:y val="6.8735053951589395E-2"/>
          <c:w val="0.86855118110236196"/>
          <c:h val="0.86545056867891501"/>
        </c:manualLayout>
      </c:layout>
      <c:lineChart>
        <c:grouping val="standard"/>
        <c:varyColors val="0"/>
        <c:ser>
          <c:idx val="0"/>
          <c:order val="0"/>
          <c:tx>
            <c:v>Средняя сезонность цен</c:v>
          </c:tx>
          <c:dLbls>
            <c:delete val="1"/>
          </c:dLbls>
          <c:cat>
            <c:strRef>
              <c:f>Сезонность!$B$5:$M$5</c:f>
              <c:strCache>
                <c:ptCount val="12"/>
                <c:pt idx="0">
                  <c:v>янв.</c:v>
                </c:pt>
                <c:pt idx="1">
                  <c:v>фев.</c:v>
                </c:pt>
                <c:pt idx="2">
                  <c:v>мар.</c:v>
                </c:pt>
                <c:pt idx="3">
                  <c:v>апр.</c:v>
                </c:pt>
                <c:pt idx="4">
                  <c:v>май</c:v>
                </c:pt>
                <c:pt idx="5">
                  <c:v>июнь</c:v>
                </c:pt>
                <c:pt idx="6">
                  <c:v>июль</c:v>
                </c:pt>
                <c:pt idx="7">
                  <c:v>авг.</c:v>
                </c:pt>
                <c:pt idx="8">
                  <c:v>сен.</c:v>
                </c:pt>
                <c:pt idx="9">
                  <c:v>окт.</c:v>
                </c:pt>
                <c:pt idx="10">
                  <c:v>нояб.</c:v>
                </c:pt>
                <c:pt idx="11">
                  <c:v>дек.</c:v>
                </c:pt>
              </c:strCache>
            </c:strRef>
          </c:cat>
          <c:val>
            <c:numRef>
              <c:f>Сезонность!$B$6:$M$6</c:f>
              <c:numCache>
                <c:formatCode>0%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2C-4058-A1F4-3F4CF082B9F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82557184"/>
        <c:axId val="382563072"/>
      </c:lineChart>
      <c:catAx>
        <c:axId val="3825571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82563072"/>
        <c:crossesAt val="1"/>
        <c:auto val="1"/>
        <c:lblAlgn val="ctr"/>
        <c:lblOffset val="100"/>
        <c:noMultiLvlLbl val="0"/>
      </c:catAx>
      <c:valAx>
        <c:axId val="382563072"/>
        <c:scaling>
          <c:orientation val="minMax"/>
        </c:scaling>
        <c:delete val="0"/>
        <c:axPos val="l"/>
        <c:numFmt formatCode="0%" sourceLinked="1"/>
        <c:majorTickMark val="out"/>
        <c:minorTickMark val="none"/>
        <c:tickLblPos val="nextTo"/>
        <c:crossAx val="382557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ru-RU" sz="1100"/>
              <a:t>Сезонность продаж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0581600049385599E-2"/>
          <c:y val="0.149253561512903"/>
          <c:w val="0.90968063298656998"/>
          <c:h val="0.739001410950798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Сезонность!$A$3</c:f>
              <c:strCache>
                <c:ptCount val="1"/>
                <c:pt idx="0">
                  <c:v>Сезонность продаж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vert="horz"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ru-RU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Сезонность!$B$2:$M$2</c:f>
              <c:strCache>
                <c:ptCount val="12"/>
                <c:pt idx="0">
                  <c:v>янв.</c:v>
                </c:pt>
                <c:pt idx="1">
                  <c:v>фев.</c:v>
                </c:pt>
                <c:pt idx="2">
                  <c:v>мар.</c:v>
                </c:pt>
                <c:pt idx="3">
                  <c:v>апр.</c:v>
                </c:pt>
                <c:pt idx="4">
                  <c:v>май</c:v>
                </c:pt>
                <c:pt idx="5">
                  <c:v>июнь</c:v>
                </c:pt>
                <c:pt idx="6">
                  <c:v>июль</c:v>
                </c:pt>
                <c:pt idx="7">
                  <c:v>авг.</c:v>
                </c:pt>
                <c:pt idx="8">
                  <c:v>сен.</c:v>
                </c:pt>
                <c:pt idx="9">
                  <c:v>окт.</c:v>
                </c:pt>
                <c:pt idx="10">
                  <c:v>нояб.</c:v>
                </c:pt>
                <c:pt idx="11">
                  <c:v>дек.</c:v>
                </c:pt>
              </c:strCache>
            </c:strRef>
          </c:cat>
          <c:val>
            <c:numRef>
              <c:f>Сезонность!$B$3:$M$3</c:f>
              <c:numCache>
                <c:formatCode>0%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8B-442F-95D8-DFC52D88CE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501288960"/>
        <c:axId val="501291648"/>
      </c:barChart>
      <c:catAx>
        <c:axId val="501288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ru-RU"/>
          </a:p>
        </c:txPr>
        <c:crossAx val="501291648"/>
        <c:crosses val="autoZero"/>
        <c:auto val="1"/>
        <c:lblAlgn val="ctr"/>
        <c:lblOffset val="100"/>
        <c:noMultiLvlLbl val="0"/>
      </c:catAx>
      <c:valAx>
        <c:axId val="501291648"/>
        <c:scaling>
          <c:orientation val="minMax"/>
          <c:min val="0"/>
        </c:scaling>
        <c:delete val="0"/>
        <c:axPos val="l"/>
        <c:numFmt formatCode="0%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ru-RU"/>
          </a:p>
        </c:txPr>
        <c:crossAx val="50128896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vert="horz"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ru-RU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Выручка!$BK$2:$BP$2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Выручка!$BK$19:$BP$19</c:f>
              <c:numCache>
                <c:formatCode>#,##0</c:formatCode>
                <c:ptCount val="6"/>
                <c:pt idx="0">
                  <c:v>48363.333333333336</c:v>
                </c:pt>
                <c:pt idx="1">
                  <c:v>2742201</c:v>
                </c:pt>
                <c:pt idx="2">
                  <c:v>3199234.5000000005</c:v>
                </c:pt>
                <c:pt idx="3">
                  <c:v>3359196.2249999996</c:v>
                </c:pt>
                <c:pt idx="4">
                  <c:v>3527156.0362500022</c:v>
                </c:pt>
                <c:pt idx="5">
                  <c:v>2469009.2253750009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94-475C-9559-77376578D6D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-368767856"/>
        <c:axId val="-376808832"/>
      </c:barChart>
      <c:catAx>
        <c:axId val="-368767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76808832"/>
        <c:crosses val="autoZero"/>
        <c:auto val="1"/>
        <c:lblAlgn val="ctr"/>
        <c:lblOffset val="100"/>
        <c:noMultiLvlLbl val="0"/>
      </c:catAx>
      <c:valAx>
        <c:axId val="-376808832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687678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BCF-47B8-80A8-7EEF2DFECCF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BCF-47B8-80A8-7EEF2DFECCF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BCF-47B8-80A8-7EEF2DFECCF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BCF-47B8-80A8-7EEF2DFECCF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EB8-4EE6-9265-0E08CCD7306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958-4837-B97B-88A77F77511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958-4837-B97B-88A77F77511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958-4837-B97B-88A77F77511D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A958-4837-B97B-88A77F77511D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A958-4837-B97B-88A77F77511D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A958-4837-B97B-88A77F77511D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A958-4837-B97B-88A77F77511D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A958-4837-B97B-88A77F77511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Выручка!$A$9:$A$16</c:f>
              <c:strCache>
                <c:ptCount val="8"/>
                <c:pt idx="0">
                  <c:v>Свиные полутуши</c:v>
                </c:pt>
                <c:pt idx="1">
                  <c:v>Говядина четверти</c:v>
                </c:pt>
                <c:pt idx="2">
                  <c:v>Тушки куриные</c:v>
                </c:pt>
                <c:pt idx="3">
                  <c:v>Тушки индейки</c:v>
                </c:pt>
                <c:pt idx="4">
                  <c:v>Котлеты замороженные</c:v>
                </c:pt>
                <c:pt idx="5">
                  <c:v>Шашлык маринованный</c:v>
                </c:pt>
                <c:pt idx="6">
                  <c:v>Фрикадельки</c:v>
                </c:pt>
                <c:pt idx="7">
                  <c:v>Пельмени</c:v>
                </c:pt>
              </c:strCache>
            </c:strRef>
          </c:cat>
          <c:val>
            <c:numRef>
              <c:f>Выручка!$BR$9:$BR$16</c:f>
              <c:numCache>
                <c:formatCode>0%</c:formatCode>
                <c:ptCount val="8"/>
                <c:pt idx="0">
                  <c:v>0.16706871596939835</c:v>
                </c:pt>
                <c:pt idx="1">
                  <c:v>0.19642980219174308</c:v>
                </c:pt>
                <c:pt idx="2">
                  <c:v>7.8571920876697218E-2</c:v>
                </c:pt>
                <c:pt idx="3">
                  <c:v>0.10338410641670687</c:v>
                </c:pt>
                <c:pt idx="4">
                  <c:v>0.10855331173754219</c:v>
                </c:pt>
                <c:pt idx="5">
                  <c:v>0.14473774898338962</c:v>
                </c:pt>
                <c:pt idx="6">
                  <c:v>0.10131642428837274</c:v>
                </c:pt>
                <c:pt idx="7">
                  <c:v>9.9937969536149973E-2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80-4E10-88F7-F01C0A16612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859-44B4-B133-4606C713633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859-44B4-B133-4606C713633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859-44B4-B133-4606C713633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859-44B4-B133-4606C713633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859-44B4-B133-4606C713633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859-44B4-B133-4606C713633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859-44B4-B133-4606C7136335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859-44B4-B133-4606C7136335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859-44B4-B133-4606C7136335}"/>
              </c:ext>
            </c:extLst>
          </c:dPt>
          <c:dLbls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Затраты!$A$56:$A$63</c:f>
              <c:strCache>
                <c:ptCount val="8"/>
                <c:pt idx="0">
                  <c:v>Оплата труда</c:v>
                </c:pt>
                <c:pt idx="1">
                  <c:v>Налоговые отчисления на оплату труда</c:v>
                </c:pt>
                <c:pt idx="2">
                  <c:v>Сырье</c:v>
                </c:pt>
                <c:pt idx="3">
                  <c:v>Материальные расходы</c:v>
                </c:pt>
                <c:pt idx="4">
                  <c:v>Коммунальные расходы</c:v>
                </c:pt>
                <c:pt idx="5">
                  <c:v>Маркетинг и реклама</c:v>
                </c:pt>
                <c:pt idx="6">
                  <c:v>Прочие</c:v>
                </c:pt>
                <c:pt idx="7">
                  <c:v>Амортизация</c:v>
                </c:pt>
              </c:strCache>
            </c:strRef>
          </c:cat>
          <c:val>
            <c:numRef>
              <c:f>Затраты!$BS$56:$BS$63</c:f>
              <c:numCache>
                <c:formatCode>0.00%</c:formatCode>
                <c:ptCount val="8"/>
                <c:pt idx="0">
                  <c:v>4.4594099287175358E-2</c:v>
                </c:pt>
                <c:pt idx="1">
                  <c:v>1.9175462693485402E-2</c:v>
                </c:pt>
                <c:pt idx="2">
                  <c:v>0.89465445939061106</c:v>
                </c:pt>
                <c:pt idx="3">
                  <c:v>2.7516203113980831E-4</c:v>
                </c:pt>
                <c:pt idx="4">
                  <c:v>6.4321876399241577E-3</c:v>
                </c:pt>
                <c:pt idx="5">
                  <c:v>1.100648124559233E-3</c:v>
                </c:pt>
                <c:pt idx="6">
                  <c:v>2.9338088356210667E-2</c:v>
                </c:pt>
                <c:pt idx="7">
                  <c:v>4.4298924768941105E-3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2859-44B4-B133-4606C713633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Капвложения!$A$14</c:f>
              <c:strCache>
                <c:ptCount val="1"/>
                <c:pt idx="0">
                  <c:v>Здания и сооружения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Капвложения!$B$3:$D$3</c:f>
              <c:numCache>
                <c:formatCode>mmm\-yy</c:formatCode>
                <c:ptCount val="3"/>
                <c:pt idx="0">
                  <c:v>45901</c:v>
                </c:pt>
                <c:pt idx="1">
                  <c:v>45931</c:v>
                </c:pt>
                <c:pt idx="2">
                  <c:v>45962</c:v>
                </c:pt>
              </c:numCache>
            </c:numRef>
          </c:cat>
          <c:val>
            <c:numRef>
              <c:f>Капвложения!$B$14:$D$14</c:f>
              <c:numCache>
                <c:formatCode>#,##0</c:formatCode>
                <c:ptCount val="3"/>
                <c:pt idx="0">
                  <c:v>74166.666666666672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91-4FCE-B84C-CB7845DFDE32}"/>
            </c:ext>
          </c:extLst>
        </c:ser>
        <c:ser>
          <c:idx val="1"/>
          <c:order val="1"/>
          <c:tx>
            <c:strRef>
              <c:f>Капвложения!$A$15</c:f>
              <c:strCache>
                <c:ptCount val="1"/>
                <c:pt idx="0">
                  <c:v>Оборудование и инвентарь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Капвложения!$B$3:$D$3</c:f>
              <c:numCache>
                <c:formatCode>mmm\-yy</c:formatCode>
                <c:ptCount val="3"/>
                <c:pt idx="0">
                  <c:v>45901</c:v>
                </c:pt>
                <c:pt idx="1">
                  <c:v>45931</c:v>
                </c:pt>
                <c:pt idx="2">
                  <c:v>45962</c:v>
                </c:pt>
              </c:numCache>
            </c:numRef>
          </c:cat>
          <c:val>
            <c:numRef>
              <c:f>Капвложения!$B$15:$D$15</c:f>
              <c:numCache>
                <c:formatCode>#,##0</c:formatCode>
                <c:ptCount val="3"/>
                <c:pt idx="0">
                  <c:v>31697.245833333334</c:v>
                </c:pt>
                <c:pt idx="1">
                  <c:v>19018.3475</c:v>
                </c:pt>
                <c:pt idx="2">
                  <c:v>12678.898333333334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C91-4FCE-B84C-CB7845DFDE32}"/>
            </c:ext>
          </c:extLst>
        </c:ser>
        <c:ser>
          <c:idx val="2"/>
          <c:order val="2"/>
          <c:tx>
            <c:strRef>
              <c:f>Капвложения!$A$16</c:f>
              <c:strCache>
                <c:ptCount val="1"/>
                <c:pt idx="0">
                  <c:v>Прочие подготовительные расходы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Капвложения!$B$3:$D$3</c:f>
              <c:numCache>
                <c:formatCode>mmm\-yy</c:formatCode>
                <c:ptCount val="3"/>
                <c:pt idx="0">
                  <c:v>45901</c:v>
                </c:pt>
                <c:pt idx="1">
                  <c:v>45931</c:v>
                </c:pt>
                <c:pt idx="2">
                  <c:v>45962</c:v>
                </c:pt>
              </c:numCache>
            </c:numRef>
          </c:cat>
          <c:val>
            <c:numRef>
              <c:f>Капвложения!$B$16:$D$16</c:f>
              <c:numCache>
                <c:formatCode>#,##0</c:formatCode>
                <c:ptCount val="3"/>
                <c:pt idx="0">
                  <c:v>2204.166666666667</c:v>
                </c:pt>
                <c:pt idx="1">
                  <c:v>1322.5</c:v>
                </c:pt>
                <c:pt idx="2">
                  <c:v>881.66666666666674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C91-4FCE-B84C-CB7845DFDE32}"/>
            </c:ext>
          </c:extLst>
        </c:ser>
        <c:ser>
          <c:idx val="3"/>
          <c:order val="3"/>
          <c:tx>
            <c:strRef>
              <c:f>Капвложения!$A$17</c:f>
              <c:strCache>
                <c:ptCount val="1"/>
                <c:pt idx="0">
                  <c:v>Итого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Капвложения!$B$3:$D$3</c:f>
              <c:numCache>
                <c:formatCode>mmm\-yy</c:formatCode>
                <c:ptCount val="3"/>
                <c:pt idx="0">
                  <c:v>45901</c:v>
                </c:pt>
                <c:pt idx="1">
                  <c:v>45931</c:v>
                </c:pt>
                <c:pt idx="2">
                  <c:v>45962</c:v>
                </c:pt>
              </c:numCache>
            </c:numRef>
          </c:cat>
          <c:val>
            <c:numRef>
              <c:f>Капвложения!$B$17:$D$17</c:f>
              <c:numCache>
                <c:formatCode>#,##0</c:formatCode>
                <c:ptCount val="3"/>
                <c:pt idx="0">
                  <c:v>108068.07916666668</c:v>
                </c:pt>
                <c:pt idx="1">
                  <c:v>20340.8475</c:v>
                </c:pt>
                <c:pt idx="2">
                  <c:v>13560.565000000001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C91-4FCE-B84C-CB7845DFDE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8660080"/>
        <c:axId val="398662048"/>
      </c:barChart>
      <c:dateAx>
        <c:axId val="398660080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398662048"/>
        <c:crosses val="autoZero"/>
        <c:auto val="1"/>
        <c:lblOffset val="100"/>
        <c:baseTimeUnit val="months"/>
      </c:dateAx>
      <c:valAx>
        <c:axId val="398662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398660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overlay val="0"/>
      <c:txPr>
        <a:bodyPr/>
        <a:lstStyle/>
        <a:p>
          <a:pPr>
            <a:defRPr sz="1100"/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ОПУ!$A$19</c:f>
              <c:strCache>
                <c:ptCount val="1"/>
                <c:pt idx="0">
                  <c:v>Чистая прибыль (убыток)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vert="horz"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ru-RU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ОПУ!$BK$2:$BP$2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ОПУ!$BK$19:$BP$19</c:f>
              <c:numCache>
                <c:formatCode>#,##0</c:formatCode>
                <c:ptCount val="6"/>
                <c:pt idx="0">
                  <c:v>-68314.248562177789</c:v>
                </c:pt>
                <c:pt idx="1">
                  <c:v>634055.52433086559</c:v>
                </c:pt>
                <c:pt idx="2">
                  <c:v>823522.31951501931</c:v>
                </c:pt>
                <c:pt idx="3">
                  <c:v>873172.84198297746</c:v>
                </c:pt>
                <c:pt idx="4">
                  <c:v>926528.96516774758</c:v>
                </c:pt>
                <c:pt idx="5">
                  <c:v>793459.8983388741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30-4DF9-B8B8-6478B0EBEFF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-352142592"/>
        <c:axId val="-352143680"/>
      </c:barChart>
      <c:catAx>
        <c:axId val="-3521425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52143680"/>
        <c:crosses val="autoZero"/>
        <c:auto val="1"/>
        <c:lblAlgn val="ctr"/>
        <c:lblOffset val="100"/>
        <c:noMultiLvlLbl val="0"/>
      </c:catAx>
      <c:valAx>
        <c:axId val="-352143680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521425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ОПУ!$A$19</c:f>
              <c:strCache>
                <c:ptCount val="1"/>
                <c:pt idx="0">
                  <c:v>Чистая прибыль (убыток)</c:v>
                </c:pt>
              </c:strCache>
            </c:strRef>
          </c:tx>
          <c:marker>
            <c:symbol val="none"/>
          </c:marker>
          <c:cat>
            <c:numRef>
              <c:f>ОПУ!$BK$2:$BP$2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ОПУ!$BK$19:$BP$19</c:f>
              <c:numCache>
                <c:formatCode>#,##0</c:formatCode>
                <c:ptCount val="6"/>
                <c:pt idx="0">
                  <c:v>-68314.248562177789</c:v>
                </c:pt>
                <c:pt idx="1">
                  <c:v>634055.52433086559</c:v>
                </c:pt>
                <c:pt idx="2">
                  <c:v>823522.31951501931</c:v>
                </c:pt>
                <c:pt idx="3">
                  <c:v>873172.84198297746</c:v>
                </c:pt>
                <c:pt idx="4">
                  <c:v>926528.96516774758</c:v>
                </c:pt>
                <c:pt idx="5">
                  <c:v>793459.8983388741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20-4425-A038-65B6189C254E}"/>
            </c:ext>
          </c:extLst>
        </c:ser>
        <c:ser>
          <c:idx val="1"/>
          <c:order val="1"/>
          <c:tx>
            <c:strRef>
              <c:f>ОПУ!$A$23</c:f>
              <c:strCache>
                <c:ptCount val="1"/>
                <c:pt idx="0">
                  <c:v>EBITDA</c:v>
                </c:pt>
              </c:strCache>
            </c:strRef>
          </c:tx>
          <c:marker>
            <c:symbol val="none"/>
          </c:marker>
          <c:cat>
            <c:numRef>
              <c:f>ОПУ!$BK$2:$BP$2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ОПУ!$BK$23:$BP$23</c:f>
              <c:numCache>
                <c:formatCode>#,##0</c:formatCode>
                <c:ptCount val="6"/>
                <c:pt idx="0">
                  <c:v>-55205.14859513886</c:v>
                </c:pt>
                <c:pt idx="1">
                  <c:v>866023.47875033319</c:v>
                </c:pt>
                <c:pt idx="2">
                  <c:v>1136168.350127094</c:v>
                </c:pt>
                <c:pt idx="3">
                  <c:v>1195646.565695656</c:v>
                </c:pt>
                <c:pt idx="4">
                  <c:v>1258178.3696218017</c:v>
                </c:pt>
                <c:pt idx="5">
                  <c:v>1067200.0932502607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F20-4425-A038-65B6189C25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352139872"/>
        <c:axId val="-352146400"/>
      </c:lineChart>
      <c:catAx>
        <c:axId val="-352139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52146400"/>
        <c:crosses val="autoZero"/>
        <c:auto val="1"/>
        <c:lblAlgn val="ctr"/>
        <c:lblOffset val="100"/>
        <c:noMultiLvlLbl val="0"/>
      </c:catAx>
      <c:valAx>
        <c:axId val="-352146400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5213987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ОДДС!$A$24</c:f>
              <c:strCache>
                <c:ptCount val="1"/>
                <c:pt idx="0">
                  <c:v>Денежные средства на конец периода</c:v>
                </c:pt>
              </c:strCache>
            </c:strRef>
          </c:tx>
          <c:marker>
            <c:symbol val="none"/>
          </c:marker>
          <c:cat>
            <c:numRef>
              <c:f>ОДДС!$C$3:$BJ$3</c:f>
              <c:numCache>
                <c:formatCode>mmm\-yy</c:formatCode>
                <c:ptCount val="60"/>
                <c:pt idx="0">
                  <c:v>45901</c:v>
                </c:pt>
                <c:pt idx="1">
                  <c:v>45931</c:v>
                </c:pt>
                <c:pt idx="2">
                  <c:v>45962</c:v>
                </c:pt>
                <c:pt idx="3">
                  <c:v>45992</c:v>
                </c:pt>
                <c:pt idx="4">
                  <c:v>46023</c:v>
                </c:pt>
                <c:pt idx="5">
                  <c:v>46054</c:v>
                </c:pt>
                <c:pt idx="6">
                  <c:v>46082</c:v>
                </c:pt>
                <c:pt idx="7">
                  <c:v>46113</c:v>
                </c:pt>
                <c:pt idx="8">
                  <c:v>46143</c:v>
                </c:pt>
                <c:pt idx="9">
                  <c:v>46174</c:v>
                </c:pt>
                <c:pt idx="10">
                  <c:v>46204</c:v>
                </c:pt>
                <c:pt idx="11">
                  <c:v>46235</c:v>
                </c:pt>
                <c:pt idx="12">
                  <c:v>46266</c:v>
                </c:pt>
                <c:pt idx="13">
                  <c:v>46296</c:v>
                </c:pt>
                <c:pt idx="14">
                  <c:v>46327</c:v>
                </c:pt>
                <c:pt idx="15">
                  <c:v>46357</c:v>
                </c:pt>
                <c:pt idx="16">
                  <c:v>46388</c:v>
                </c:pt>
                <c:pt idx="17">
                  <c:v>46419</c:v>
                </c:pt>
                <c:pt idx="18">
                  <c:v>46447</c:v>
                </c:pt>
                <c:pt idx="19">
                  <c:v>46478</c:v>
                </c:pt>
                <c:pt idx="20">
                  <c:v>46508</c:v>
                </c:pt>
                <c:pt idx="21">
                  <c:v>46539</c:v>
                </c:pt>
                <c:pt idx="22">
                  <c:v>46569</c:v>
                </c:pt>
                <c:pt idx="23">
                  <c:v>46600</c:v>
                </c:pt>
                <c:pt idx="24">
                  <c:v>46631</c:v>
                </c:pt>
                <c:pt idx="25">
                  <c:v>46661</c:v>
                </c:pt>
                <c:pt idx="26">
                  <c:v>46692</c:v>
                </c:pt>
                <c:pt idx="27">
                  <c:v>46722</c:v>
                </c:pt>
                <c:pt idx="28">
                  <c:v>46753</c:v>
                </c:pt>
                <c:pt idx="29">
                  <c:v>46784</c:v>
                </c:pt>
                <c:pt idx="30">
                  <c:v>46813</c:v>
                </c:pt>
                <c:pt idx="31">
                  <c:v>46844</c:v>
                </c:pt>
                <c:pt idx="32">
                  <c:v>46874</c:v>
                </c:pt>
                <c:pt idx="33">
                  <c:v>46905</c:v>
                </c:pt>
                <c:pt idx="34">
                  <c:v>46935</c:v>
                </c:pt>
                <c:pt idx="35">
                  <c:v>46966</c:v>
                </c:pt>
                <c:pt idx="36">
                  <c:v>46997</c:v>
                </c:pt>
                <c:pt idx="37">
                  <c:v>47027</c:v>
                </c:pt>
                <c:pt idx="38">
                  <c:v>47058</c:v>
                </c:pt>
                <c:pt idx="39">
                  <c:v>47088</c:v>
                </c:pt>
                <c:pt idx="40">
                  <c:v>47119</c:v>
                </c:pt>
                <c:pt idx="41">
                  <c:v>47150</c:v>
                </c:pt>
                <c:pt idx="42">
                  <c:v>47178</c:v>
                </c:pt>
                <c:pt idx="43">
                  <c:v>47209</c:v>
                </c:pt>
                <c:pt idx="44">
                  <c:v>47239</c:v>
                </c:pt>
                <c:pt idx="45">
                  <c:v>47270</c:v>
                </c:pt>
                <c:pt idx="46">
                  <c:v>47300</c:v>
                </c:pt>
                <c:pt idx="47">
                  <c:v>47331</c:v>
                </c:pt>
                <c:pt idx="48">
                  <c:v>47362</c:v>
                </c:pt>
                <c:pt idx="49">
                  <c:v>47392</c:v>
                </c:pt>
                <c:pt idx="50">
                  <c:v>47423</c:v>
                </c:pt>
                <c:pt idx="51">
                  <c:v>47453</c:v>
                </c:pt>
                <c:pt idx="52">
                  <c:v>47484</c:v>
                </c:pt>
                <c:pt idx="53">
                  <c:v>47515</c:v>
                </c:pt>
                <c:pt idx="54">
                  <c:v>47543</c:v>
                </c:pt>
                <c:pt idx="55">
                  <c:v>47574</c:v>
                </c:pt>
                <c:pt idx="56">
                  <c:v>47604</c:v>
                </c:pt>
                <c:pt idx="57">
                  <c:v>47635</c:v>
                </c:pt>
                <c:pt idx="58">
                  <c:v>47665</c:v>
                </c:pt>
                <c:pt idx="59">
                  <c:v>47696</c:v>
                </c:pt>
              </c:numCache>
            </c:numRef>
          </c:cat>
          <c:val>
            <c:numRef>
              <c:f>ОДДС!$C$24:$BJ$24</c:f>
              <c:numCache>
                <c:formatCode>#,##0</c:formatCode>
                <c:ptCount val="60"/>
                <c:pt idx="0">
                  <c:v>15082.765913527048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12524.984365049455</c:v>
                </c:pt>
                <c:pt idx="6">
                  <c:v>48984.130663572432</c:v>
                </c:pt>
                <c:pt idx="7">
                  <c:v>125672.14499925556</c:v>
                </c:pt>
                <c:pt idx="8">
                  <c:v>214144.88845159591</c:v>
                </c:pt>
                <c:pt idx="9">
                  <c:v>278370.16636926198</c:v>
                </c:pt>
                <c:pt idx="10">
                  <c:v>342114.09498178842</c:v>
                </c:pt>
                <c:pt idx="11">
                  <c:v>406086.75453581172</c:v>
                </c:pt>
                <c:pt idx="12">
                  <c:v>470288.76959368167</c:v>
                </c:pt>
                <c:pt idx="13">
                  <c:v>534007.3510453311</c:v>
                </c:pt>
                <c:pt idx="14">
                  <c:v>598193.03857338941</c:v>
                </c:pt>
                <c:pt idx="15">
                  <c:v>661893.8295844614</c:v>
                </c:pt>
                <c:pt idx="16">
                  <c:v>729704.27356256486</c:v>
                </c:pt>
                <c:pt idx="17">
                  <c:v>797966.02110976307</c:v>
                </c:pt>
                <c:pt idx="18">
                  <c:v>864608.39391189045</c:v>
                </c:pt>
                <c:pt idx="19">
                  <c:v>932297.44633564143</c:v>
                </c:pt>
                <c:pt idx="20">
                  <c:v>999474.69113680907</c:v>
                </c:pt>
                <c:pt idx="21">
                  <c:v>1067144.8808376987</c:v>
                </c:pt>
                <c:pt idx="22">
                  <c:v>1134301.5728575173</c:v>
                </c:pt>
                <c:pt idx="23">
                  <c:v>1201699.7170301487</c:v>
                </c:pt>
                <c:pt idx="24">
                  <c:v>1269340.1132523064</c:v>
                </c:pt>
                <c:pt idx="25">
                  <c:v>1336464.3423632164</c:v>
                </c:pt>
                <c:pt idx="26">
                  <c:v>1404083.8274026366</c:v>
                </c:pt>
                <c:pt idx="27">
                  <c:v>1471185.2717348214</c:v>
                </c:pt>
                <c:pt idx="28">
                  <c:v>1542606.4669786224</c:v>
                </c:pt>
                <c:pt idx="29">
                  <c:v>1614207.2853144736</c:v>
                </c:pt>
                <c:pt idx="30">
                  <c:v>1684693.1559700032</c:v>
                </c:pt>
                <c:pt idx="31">
                  <c:v>1783979.1302542116</c:v>
                </c:pt>
                <c:pt idx="32">
                  <c:v>1853821.69582933</c:v>
                </c:pt>
                <c:pt idx="33">
                  <c:v>1925993.2198919533</c:v>
                </c:pt>
                <c:pt idx="34">
                  <c:v>1995027.5273874674</c:v>
                </c:pt>
                <c:pt idx="35">
                  <c:v>2065141.6909254738</c:v>
                </c:pt>
                <c:pt idx="36">
                  <c:v>2136371.9220557124</c:v>
                </c:pt>
                <c:pt idx="37">
                  <c:v>2205407.6597308498</c:v>
                </c:pt>
                <c:pt idx="38">
                  <c:v>2276556.3737655147</c:v>
                </c:pt>
                <c:pt idx="39">
                  <c:v>2346438.6979973712</c:v>
                </c:pt>
                <c:pt idx="40">
                  <c:v>2422982.4195335666</c:v>
                </c:pt>
                <c:pt idx="41">
                  <c:v>2501302.0354541382</c:v>
                </c:pt>
                <c:pt idx="42">
                  <c:v>2572562.5728809033</c:v>
                </c:pt>
                <c:pt idx="43">
                  <c:v>2648426.2711538794</c:v>
                </c:pt>
                <c:pt idx="44">
                  <c:v>2722080.6859660009</c:v>
                </c:pt>
                <c:pt idx="45">
                  <c:v>2797913.444217728</c:v>
                </c:pt>
                <c:pt idx="46">
                  <c:v>2871534.1468507354</c:v>
                </c:pt>
                <c:pt idx="47">
                  <c:v>2946030.5284796706</c:v>
                </c:pt>
                <c:pt idx="48">
                  <c:v>3021807.5753473276</c:v>
                </c:pt>
                <c:pt idx="49">
                  <c:v>3095381.8718721075</c:v>
                </c:pt>
                <c:pt idx="50">
                  <c:v>3171124.618684412</c:v>
                </c:pt>
                <c:pt idx="51">
                  <c:v>3244661.5419443077</c:v>
                </c:pt>
                <c:pt idx="52">
                  <c:v>3325198.3532445407</c:v>
                </c:pt>
                <c:pt idx="53">
                  <c:v>3407616.2697133967</c:v>
                </c:pt>
                <c:pt idx="54">
                  <c:v>3482582.3737907028</c:v>
                </c:pt>
                <c:pt idx="55">
                  <c:v>3562402.2316730567</c:v>
                </c:pt>
                <c:pt idx="56">
                  <c:v>3639886.9374149833</c:v>
                </c:pt>
                <c:pt idx="57">
                  <c:v>3719667.1694356357</c:v>
                </c:pt>
                <c:pt idx="58">
                  <c:v>3797108.6989257927</c:v>
                </c:pt>
                <c:pt idx="59">
                  <c:v>3973474.4375657127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1E-4260-85F2-A0E2C587D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352144768"/>
        <c:axId val="-352144224"/>
      </c:lineChart>
      <c:dateAx>
        <c:axId val="-352144768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crossAx val="-352144224"/>
        <c:crosses val="autoZero"/>
        <c:auto val="1"/>
        <c:lblOffset val="100"/>
        <c:baseTimeUnit val="months"/>
      </c:dateAx>
      <c:valAx>
        <c:axId val="-352144224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521447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ОДДС!$D$3:$G$3</c:f>
              <c:numCache>
                <c:formatCode>mmm\-yy</c:formatCode>
                <c:ptCount val="4"/>
                <c:pt idx="0">
                  <c:v>45931</c:v>
                </c:pt>
                <c:pt idx="1">
                  <c:v>45962</c:v>
                </c:pt>
                <c:pt idx="2">
                  <c:v>45992</c:v>
                </c:pt>
                <c:pt idx="3">
                  <c:v>46023</c:v>
                </c:pt>
              </c:numCache>
            </c:numRef>
          </c:cat>
          <c:val>
            <c:numRef>
              <c:f>ОДДС!$D$23:$G$23</c:f>
              <c:numCache>
                <c:formatCode>#,##0</c:formatCode>
                <c:ptCount val="4"/>
                <c:pt idx="0">
                  <c:v>15462.27316649428</c:v>
                </c:pt>
                <c:pt idx="1">
                  <c:v>37498.697670702328</c:v>
                </c:pt>
                <c:pt idx="2">
                  <c:v>30493.977840899439</c:v>
                </c:pt>
                <c:pt idx="3">
                  <c:v>11462.194826170797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FA-4BB8-90D2-D8F32B05F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97135472"/>
        <c:axId val="1197135952"/>
      </c:barChart>
      <c:dateAx>
        <c:axId val="1197135472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7135952"/>
        <c:crosses val="autoZero"/>
        <c:auto val="1"/>
        <c:lblOffset val="100"/>
        <c:baseTimeUnit val="months"/>
      </c:dateAx>
      <c:valAx>
        <c:axId val="1197135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7135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'Показатели эффективности'!$A$17</c:f>
              <c:strCache>
                <c:ptCount val="1"/>
                <c:pt idx="0">
                  <c:v>Расчетный денежный поток (накопленным итогом)</c:v>
                </c:pt>
              </c:strCache>
            </c:strRef>
          </c:tx>
          <c:cat>
            <c:numRef>
              <c:f>'Показатели эффективности'!$C$2:$H$2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'Показатели эффективности'!$C$17:$H$17</c:f>
              <c:numCache>
                <c:formatCode>#,##0</c:formatCode>
                <c:ptCount val="6"/>
                <c:pt idx="0">
                  <c:v>-215844.15465220428</c:v>
                </c:pt>
                <c:pt idx="1">
                  <c:v>487419.86218376167</c:v>
                </c:pt>
                <c:pt idx="2">
                  <c:v>1349543.6864117966</c:v>
                </c:pt>
                <c:pt idx="3">
                  <c:v>2277629.494752022</c:v>
                </c:pt>
                <c:pt idx="4">
                  <c:v>3228684.7207766338</c:v>
                </c:pt>
                <c:pt idx="5">
                  <c:v>3992719.2044498231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91D-411B-81A5-A655468BFD2D}"/>
            </c:ext>
          </c:extLst>
        </c:ser>
        <c:ser>
          <c:idx val="1"/>
          <c:order val="1"/>
          <c:tx>
            <c:strRef>
              <c:f>'Показатели эффективности'!$A$24</c:f>
              <c:strCache>
                <c:ptCount val="1"/>
                <c:pt idx="0">
                  <c:v>DFCF накопленным итогом</c:v>
                </c:pt>
              </c:strCache>
            </c:strRef>
          </c:tx>
          <c:val>
            <c:numRef>
              <c:f>'Показатели эффективности'!$C$24:$H$24</c:f>
              <c:numCache>
                <c:formatCode>#,##0</c:formatCode>
                <c:ptCount val="6"/>
                <c:pt idx="0">
                  <c:v>-209234.412491558</c:v>
                </c:pt>
                <c:pt idx="1">
                  <c:v>366833.19885645539</c:v>
                </c:pt>
                <c:pt idx="2">
                  <c:v>949004.68061102717</c:v>
                </c:pt>
                <c:pt idx="3">
                  <c:v>1457220.3778722058</c:v>
                </c:pt>
                <c:pt idx="4">
                  <c:v>1878570.2477001641</c:v>
                </c:pt>
                <c:pt idx="5">
                  <c:v>2160098.9878965328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87-465E-BFCD-B1F5D9C43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52145856"/>
        <c:axId val="-352142048"/>
      </c:lineChart>
      <c:catAx>
        <c:axId val="-352145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352142048"/>
        <c:crosses val="autoZero"/>
        <c:auto val="1"/>
        <c:lblAlgn val="ctr"/>
        <c:lblOffset val="100"/>
        <c:noMultiLvlLbl val="0"/>
      </c:catAx>
      <c:valAx>
        <c:axId val="-3521420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ru-RU"/>
                  <a:t>Тыс. руб.</a:t>
                </a:r>
              </a:p>
            </c:rich>
          </c:tx>
          <c:overlay val="0"/>
        </c:title>
        <c:numFmt formatCode="#,##0" sourceLinked="1"/>
        <c:majorTickMark val="none"/>
        <c:minorTickMark val="none"/>
        <c:tickLblPos val="nextTo"/>
        <c:crossAx val="-35214585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Распределение привлеченных средств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'Показатели эффективности'!$A$44:$A$45</c:f>
              <c:strCache>
                <c:ptCount val="2"/>
                <c:pt idx="0">
                  <c:v>Кредитные средства</c:v>
                </c:pt>
                <c:pt idx="1">
                  <c:v>Деньги инвестора/инициатора проекта</c:v>
                </c:pt>
              </c:strCache>
            </c:strRef>
          </c:cat>
          <c:val>
            <c:numRef>
              <c:f>'Показатели эффективности'!$D$44:$D$45</c:f>
              <c:numCache>
                <c:formatCode>0%</c:formatCode>
                <c:ptCount val="2"/>
                <c:pt idx="0">
                  <c:v>0.61245202297317647</c:v>
                </c:pt>
                <c:pt idx="1">
                  <c:v>0.38754797702682353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A3-4C9E-8134-E59C2891E6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необходимых инвестиций при изменении стоимости </a:t>
            </a:r>
            <a:r>
              <a:rPr lang="ru-RU" sz="1100"/>
              <a:t>продукции</a:t>
            </a:r>
            <a:r>
              <a:rPr lang="uk-UA" sz="1100"/>
              <a:t>, </a:t>
            </a:r>
            <a:r>
              <a:rPr lang="uk-UA" sz="1100">
                <a:latin typeface="+mj-lt"/>
              </a:rPr>
              <a:t>тыс. </a:t>
            </a:r>
            <a:r>
              <a:rPr lang="uk-UA" sz="1100">
                <a:latin typeface="+mj-lt"/>
                <a:cs typeface="Calibri" panose="020F0502020204030204" pitchFamily="34" charset="0"/>
              </a:rPr>
              <a:t>руб.</a:t>
            </a:r>
            <a:endParaRPr lang="uk-UA" sz="1100">
              <a:latin typeface="+mj-lt"/>
            </a:endParaRPr>
          </a:p>
        </c:rich>
      </c:tx>
      <c:layout>
        <c:manualLayout>
          <c:xMode val="edge"/>
          <c:yMode val="edge"/>
          <c:x val="0.155511426174368"/>
          <c:y val="3.70371248774626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Динамика необходимых инвестиций при изменении стоимости продукции, руб. </c:v>
          </c:tx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04C9-4C19-81DF-4CA05C90A30D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чувствительности'!$C$2:$I$2</c:f>
              <c:numCache>
                <c:formatCode>#,##0</c:formatCode>
                <c:ptCount val="7"/>
                <c:pt idx="0">
                  <c:v>206389.90303930105</c:v>
                </c:pt>
                <c:pt idx="1">
                  <c:v>209541.32024360212</c:v>
                </c:pt>
                <c:pt idx="2">
                  <c:v>212692.7374479032</c:v>
                </c:pt>
                <c:pt idx="3">
                  <c:v>222903.65097190213</c:v>
                </c:pt>
                <c:pt idx="4">
                  <c:v>235325.22710093437</c:v>
                </c:pt>
                <c:pt idx="5">
                  <c:v>264131.02781151287</c:v>
                </c:pt>
                <c:pt idx="6">
                  <c:v>314208.69545322779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C9-4C19-81DF-4CA05C90A3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52141504"/>
        <c:axId val="-352143136"/>
      </c:lineChart>
      <c:catAx>
        <c:axId val="-352141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52143136"/>
        <c:crosses val="autoZero"/>
        <c:auto val="1"/>
        <c:lblAlgn val="ctr"/>
        <c:lblOffset val="100"/>
        <c:noMultiLvlLbl val="0"/>
      </c:catAx>
      <c:valAx>
        <c:axId val="-352143136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521415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</a:t>
            </a:r>
            <a:r>
              <a:rPr lang="en-GB" sz="1100"/>
              <a:t>NPV </a:t>
            </a:r>
            <a:r>
              <a:rPr lang="ru-RU" sz="1100"/>
              <a:t>при изменении стоимости продукции, тыс. руб.</a:t>
            </a:r>
          </a:p>
        </c:rich>
      </c:tx>
      <c:layout>
        <c:manualLayout>
          <c:xMode val="edge"/>
          <c:yMode val="edge"/>
          <c:x val="0.20224243963639399"/>
          <c:y val="3.70371248774626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A44E-4E7C-8854-C0EED6DE0A0A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чувствительности'!$C$3:$I$3</c:f>
              <c:numCache>
                <c:formatCode>#,##0</c:formatCode>
                <c:ptCount val="7"/>
                <c:pt idx="0">
                  <c:v>4133257.6681406638</c:v>
                </c:pt>
                <c:pt idx="1">
                  <c:v>3475735.4541491615</c:v>
                </c:pt>
                <c:pt idx="2">
                  <c:v>2817976.8922087569</c:v>
                </c:pt>
                <c:pt idx="3">
                  <c:v>2160098.9878965328</c:v>
                </c:pt>
                <c:pt idx="4">
                  <c:v>1501868.1086801642</c:v>
                </c:pt>
                <c:pt idx="5">
                  <c:v>842701.28030479327</c:v>
                </c:pt>
                <c:pt idx="6">
                  <c:v>178239.95374555129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4E-4E7C-8854-C0EED6DE0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52140960"/>
        <c:axId val="-352145312"/>
      </c:lineChart>
      <c:catAx>
        <c:axId val="-352140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52145312"/>
        <c:crosses val="autoZero"/>
        <c:auto val="1"/>
        <c:lblAlgn val="ctr"/>
        <c:lblOffset val="100"/>
        <c:noMultiLvlLbl val="0"/>
      </c:catAx>
      <c:valAx>
        <c:axId val="-352145312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52140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</a:t>
            </a:r>
            <a:r>
              <a:rPr lang="en-GB" sz="1100"/>
              <a:t>IRR </a:t>
            </a:r>
            <a:r>
              <a:rPr lang="ru-RU" sz="1100"/>
              <a:t>при изменении стоимости продукции, %</a:t>
            </a:r>
            <a:endParaRPr lang="uk-UA" sz="1100"/>
          </a:p>
        </c:rich>
      </c:tx>
      <c:layout>
        <c:manualLayout>
          <c:xMode val="edge"/>
          <c:yMode val="edge"/>
          <c:x val="0.25347495785900698"/>
          <c:y val="3.7037213248645999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E3F6-4F56-A3B3-01C1E04C8B13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чувствительности'!$C$4:$I$4</c:f>
              <c:numCache>
                <c:formatCode>0%</c:formatCode>
                <c:ptCount val="7"/>
                <c:pt idx="0">
                  <c:v>6.5435597682251041</c:v>
                </c:pt>
                <c:pt idx="1">
                  <c:v>5.4773638332627455</c:v>
                </c:pt>
                <c:pt idx="2">
                  <c:v>4.4423385656740386</c:v>
                </c:pt>
                <c:pt idx="3">
                  <c:v>3.4365448917675812</c:v>
                </c:pt>
                <c:pt idx="4">
                  <c:v>2.4570300583299138</c:v>
                </c:pt>
                <c:pt idx="5">
                  <c:v>1.4964684990961863</c:v>
                </c:pt>
                <c:pt idx="6">
                  <c:v>0.50177209028039327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F6-4F56-A3B3-01C1E04C8B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52140416"/>
        <c:axId val="-352146944"/>
      </c:lineChart>
      <c:catAx>
        <c:axId val="-3521404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52146944"/>
        <c:crosses val="autoZero"/>
        <c:auto val="1"/>
        <c:lblAlgn val="ctr"/>
        <c:lblOffset val="100"/>
        <c:noMultiLvlLbl val="0"/>
      </c:catAx>
      <c:valAx>
        <c:axId val="-352146944"/>
        <c:scaling>
          <c:orientation val="minMax"/>
        </c:scaling>
        <c:delete val="0"/>
        <c:axPos val="l"/>
        <c:numFmt formatCode="0%" sourceLinked="1"/>
        <c:majorTickMark val="out"/>
        <c:minorTickMark val="none"/>
        <c:tickLblPos val="nextTo"/>
        <c:crossAx val="-352140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периода окупаемости при изменении стоимости продукции, мес.</a:t>
            </a:r>
          </a:p>
        </c:rich>
      </c:tx>
      <c:layout>
        <c:manualLayout>
          <c:xMode val="edge"/>
          <c:yMode val="edge"/>
          <c:x val="0.126593237428899"/>
          <c:y val="3.7037213248645999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2952-44C3-8948-BD8F5DB7527D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чувствительности'!$C$5:$I$5</c:f>
              <c:numCache>
                <c:formatCode>0</c:formatCode>
                <c:ptCount val="7"/>
                <c:pt idx="0">
                  <c:v>8</c:v>
                </c:pt>
                <c:pt idx="1">
                  <c:v>8</c:v>
                </c:pt>
                <c:pt idx="2">
                  <c:v>9</c:v>
                </c:pt>
                <c:pt idx="3">
                  <c:v>9</c:v>
                </c:pt>
                <c:pt idx="4">
                  <c:v>11</c:v>
                </c:pt>
                <c:pt idx="5">
                  <c:v>14</c:v>
                </c:pt>
                <c:pt idx="6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52-44C3-8948-BD8F5DB752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594800"/>
        <c:axId val="-349595888"/>
      </c:lineChart>
      <c:catAx>
        <c:axId val="-349594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595888"/>
        <c:crosses val="autoZero"/>
        <c:auto val="1"/>
        <c:lblAlgn val="ctr"/>
        <c:lblOffset val="100"/>
        <c:noMultiLvlLbl val="0"/>
      </c:catAx>
      <c:valAx>
        <c:axId val="-349595888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crossAx val="-3495948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дисконтированного периода окупаемости при изменении стоимости продукции, мес.</a:t>
            </a:r>
          </a:p>
        </c:rich>
      </c:tx>
      <c:layout>
        <c:manualLayout>
          <c:xMode val="edge"/>
          <c:yMode val="edge"/>
          <c:x val="0.18725763429286599"/>
          <c:y val="3.222012349612370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69D9-43A9-91AF-05F620CA2DA2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чувствительности'!$C$6:$I$6</c:f>
              <c:numCache>
                <c:formatCode>0</c:formatCode>
                <c:ptCount val="7"/>
                <c:pt idx="0">
                  <c:v>8</c:v>
                </c:pt>
                <c:pt idx="1">
                  <c:v>8</c:v>
                </c:pt>
                <c:pt idx="2">
                  <c:v>9</c:v>
                </c:pt>
                <c:pt idx="3">
                  <c:v>10</c:v>
                </c:pt>
                <c:pt idx="4">
                  <c:v>11</c:v>
                </c:pt>
                <c:pt idx="5">
                  <c:v>15</c:v>
                </c:pt>
                <c:pt idx="6">
                  <c:v>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9D9-43A9-91AF-05F620CA2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599696"/>
        <c:axId val="-349595344"/>
      </c:lineChart>
      <c:catAx>
        <c:axId val="-3495996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595344"/>
        <c:crosses val="autoZero"/>
        <c:auto val="1"/>
        <c:lblAlgn val="ctr"/>
        <c:lblOffset val="100"/>
        <c:noMultiLvlLbl val="0"/>
      </c:catAx>
      <c:valAx>
        <c:axId val="-349595344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crossAx val="-349599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необходимых инвестиций при изменении затрат, тыс. </a:t>
            </a:r>
            <a:r>
              <a:rPr lang="uk-UA" sz="1100" b="1" i="0" u="none" strike="noStrike" baseline="0">
                <a:effectLst/>
              </a:rPr>
              <a:t>руб.</a:t>
            </a:r>
            <a:endParaRPr lang="ru-RU" sz="1100"/>
          </a:p>
        </c:rich>
      </c:tx>
      <c:layout>
        <c:manualLayout>
          <c:xMode val="edge"/>
          <c:yMode val="edge"/>
          <c:x val="0.17253649412764599"/>
          <c:y val="3.1986399427344298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33E5-49AB-8D7F-48A66A217912}"/>
              </c:ext>
            </c:extLst>
          </c:dPt>
          <c:dLbls>
            <c:dLbl>
              <c:idx val="1"/>
              <c:layout>
                <c:manualLayout>
                  <c:x val="-4.9845307665864501E-2"/>
                  <c:y val="-6.94444444444445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3E5-49AB-8D7F-48A66A217912}"/>
                </c:ext>
              </c:extLst>
            </c:dLbl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чувствительности'!$C$9:$I$9</c:f>
              <c:numCache>
                <c:formatCode>#,##0</c:formatCode>
                <c:ptCount val="7"/>
                <c:pt idx="0">
                  <c:v>317322.04806487274</c:v>
                </c:pt>
                <c:pt idx="1">
                  <c:v>274505.47793050762</c:v>
                </c:pt>
                <c:pt idx="2">
                  <c:v>243734.39837886699</c:v>
                </c:pt>
                <c:pt idx="3">
                  <c:v>222903.65097190213</c:v>
                </c:pt>
                <c:pt idx="4">
                  <c:v>205410.20225333856</c:v>
                </c:pt>
                <c:pt idx="5">
                  <c:v>194976.24985447282</c:v>
                </c:pt>
                <c:pt idx="6">
                  <c:v>184542.29745560704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E5-49AB-8D7F-48A66A2179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602960"/>
        <c:axId val="-349601328"/>
      </c:lineChart>
      <c:catAx>
        <c:axId val="-349602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601328"/>
        <c:crosses val="autoZero"/>
        <c:auto val="1"/>
        <c:lblAlgn val="ctr"/>
        <c:lblOffset val="100"/>
        <c:noMultiLvlLbl val="0"/>
      </c:catAx>
      <c:valAx>
        <c:axId val="-349601328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49602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</a:t>
            </a:r>
            <a:r>
              <a:rPr lang="en-GB" sz="1100"/>
              <a:t>NPV </a:t>
            </a:r>
            <a:r>
              <a:rPr lang="ru-RU" sz="1100"/>
              <a:t>при изменении затрат, тыс. руб.</a:t>
            </a:r>
          </a:p>
        </c:rich>
      </c:tx>
      <c:layout>
        <c:manualLayout>
          <c:xMode val="edge"/>
          <c:yMode val="edge"/>
          <c:x val="0.236180051230275"/>
          <c:y val="5.1487841128292702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CE59-459A-96C5-CFA0ECC17E54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чувствительности'!$C$10:$I$10</c:f>
              <c:numCache>
                <c:formatCode>#,##0</c:formatCode>
                <c:ptCount val="7"/>
                <c:pt idx="0">
                  <c:v>848001.43324566784</c:v>
                </c:pt>
                <c:pt idx="1">
                  <c:v>1285850.3121517331</c:v>
                </c:pt>
                <c:pt idx="2">
                  <c:v>1723121.0245615477</c:v>
                </c:pt>
                <c:pt idx="3">
                  <c:v>2160098.9878965328</c:v>
                </c:pt>
                <c:pt idx="4">
                  <c:v>2596952.801390097</c:v>
                </c:pt>
                <c:pt idx="5">
                  <c:v>3033680.8726980877</c:v>
                </c:pt>
                <c:pt idx="6">
                  <c:v>3470326.0934423199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E59-459A-96C5-CFA0ECC17E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594256"/>
        <c:axId val="-349607856"/>
      </c:lineChart>
      <c:catAx>
        <c:axId val="-3495942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607856"/>
        <c:crosses val="autoZero"/>
        <c:auto val="1"/>
        <c:lblAlgn val="ctr"/>
        <c:lblOffset val="100"/>
        <c:noMultiLvlLbl val="0"/>
      </c:catAx>
      <c:valAx>
        <c:axId val="-349607856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495942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</a:t>
            </a:r>
            <a:r>
              <a:rPr lang="en-GB" sz="1100"/>
              <a:t>IRR </a:t>
            </a:r>
            <a:r>
              <a:rPr lang="ru-RU" sz="1100"/>
              <a:t>при изменении затрат, %</a:t>
            </a:r>
            <a:endParaRPr lang="uk-UA" sz="1100"/>
          </a:p>
        </c:rich>
      </c:tx>
      <c:layout>
        <c:manualLayout>
          <c:xMode val="edge"/>
          <c:yMode val="edge"/>
          <c:x val="0.25212008347701798"/>
          <c:y val="3.70371248774626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AFE8-41EF-9A85-A5B39F36091D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чувствительности'!$C$11:$I$11</c:f>
              <c:numCache>
                <c:formatCode>0%</c:formatCode>
                <c:ptCount val="7"/>
                <c:pt idx="0">
                  <c:v>1.3293818729727516</c:v>
                </c:pt>
                <c:pt idx="1">
                  <c:v>1.9668892246931486</c:v>
                </c:pt>
                <c:pt idx="2">
                  <c:v>2.6662415915447784</c:v>
                </c:pt>
                <c:pt idx="3">
                  <c:v>3.4365448917675812</c:v>
                </c:pt>
                <c:pt idx="4">
                  <c:v>4.2880811819796643</c:v>
                </c:pt>
                <c:pt idx="5">
                  <c:v>5.2332646519872696</c:v>
                </c:pt>
                <c:pt idx="6">
                  <c:v>6.2874153755646738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FE8-41EF-9A85-A5B39F3609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596432"/>
        <c:axId val="-349608944"/>
      </c:lineChart>
      <c:catAx>
        <c:axId val="-3495964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608944"/>
        <c:crosses val="autoZero"/>
        <c:auto val="1"/>
        <c:lblAlgn val="ctr"/>
        <c:lblOffset val="100"/>
        <c:noMultiLvlLbl val="0"/>
      </c:catAx>
      <c:valAx>
        <c:axId val="-349608944"/>
        <c:scaling>
          <c:orientation val="minMax"/>
        </c:scaling>
        <c:delete val="0"/>
        <c:axPos val="l"/>
        <c:numFmt formatCode="0%" sourceLinked="1"/>
        <c:majorTickMark val="out"/>
        <c:minorTickMark val="none"/>
        <c:tickLblPos val="nextTo"/>
        <c:crossAx val="-3495964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периода окупаемости при изменении затрат, мес.</a:t>
            </a:r>
          </a:p>
        </c:rich>
      </c:tx>
      <c:layout>
        <c:manualLayout>
          <c:xMode val="edge"/>
          <c:yMode val="edge"/>
          <c:x val="0.15586707557052101"/>
          <c:y val="3.7427663409543697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47625"/>
          </c:spPr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5429-43EB-BF97-BBFF21CDEDFC}"/>
              </c:ext>
            </c:extLst>
          </c:dPt>
          <c:dPt>
            <c:idx val="6"/>
            <c:marker>
              <c:spPr>
                <a:ln w="9525"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FF2A-455D-97B9-3BB64617C6FA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чувствительности'!$C$12:$I$12</c:f>
              <c:numCache>
                <c:formatCode>0</c:formatCode>
                <c:ptCount val="7"/>
                <c:pt idx="0">
                  <c:v>16</c:v>
                </c:pt>
                <c:pt idx="1">
                  <c:v>12</c:v>
                </c:pt>
                <c:pt idx="2">
                  <c:v>11</c:v>
                </c:pt>
                <c:pt idx="3">
                  <c:v>9</c:v>
                </c:pt>
                <c:pt idx="4">
                  <c:v>9</c:v>
                </c:pt>
                <c:pt idx="5">
                  <c:v>8</c:v>
                </c:pt>
                <c:pt idx="6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429-43EB-BF97-BBFF21CDED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609488"/>
        <c:axId val="-349606768"/>
      </c:lineChart>
      <c:catAx>
        <c:axId val="-349609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606768"/>
        <c:crosses val="autoZero"/>
        <c:auto val="1"/>
        <c:lblAlgn val="ctr"/>
        <c:lblOffset val="100"/>
        <c:noMultiLvlLbl val="0"/>
      </c:catAx>
      <c:valAx>
        <c:axId val="-349606768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crossAx val="-3496094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дисконтированного периода окупаемости при изменении затрат, мес.</a:t>
            </a:r>
          </a:p>
        </c:rich>
      </c:tx>
      <c:layout>
        <c:manualLayout>
          <c:xMode val="edge"/>
          <c:yMode val="edge"/>
          <c:x val="0.14738168901111501"/>
          <c:y val="3.70371248774626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6BC6-45F0-861F-E1FB74C0DB08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чувствительности'!$C$13:$I$13</c:f>
              <c:numCache>
                <c:formatCode>0</c:formatCode>
                <c:ptCount val="7"/>
                <c:pt idx="0">
                  <c:v>17</c:v>
                </c:pt>
                <c:pt idx="1">
                  <c:v>13</c:v>
                </c:pt>
                <c:pt idx="2">
                  <c:v>11</c:v>
                </c:pt>
                <c:pt idx="3">
                  <c:v>10</c:v>
                </c:pt>
                <c:pt idx="4">
                  <c:v>9</c:v>
                </c:pt>
                <c:pt idx="5">
                  <c:v>8</c:v>
                </c:pt>
                <c:pt idx="6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BC6-45F0-861F-E1FB74C0DB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599152"/>
        <c:axId val="-349602416"/>
      </c:lineChart>
      <c:catAx>
        <c:axId val="-3495991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602416"/>
        <c:crosses val="autoZero"/>
        <c:auto val="1"/>
        <c:lblAlgn val="ctr"/>
        <c:lblOffset val="100"/>
        <c:noMultiLvlLbl val="0"/>
      </c:catAx>
      <c:valAx>
        <c:axId val="-349602416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crossAx val="-3495991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</a:t>
            </a:r>
            <a:r>
              <a:rPr lang="en-GB" sz="1100"/>
              <a:t>NPV </a:t>
            </a:r>
            <a:r>
              <a:rPr lang="ru-RU" sz="1100"/>
              <a:t>при изменении ставки дисконтирования, тыс. руб.</a:t>
            </a:r>
            <a:endParaRPr lang="uk-UA" sz="1100"/>
          </a:p>
        </c:rich>
      </c:tx>
      <c:layout>
        <c:manualLayout>
          <c:xMode val="edge"/>
          <c:yMode val="edge"/>
          <c:x val="0.27604673537998797"/>
          <c:y val="3.70371248774626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893E-49E3-9D79-6B32B2E80FEC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чувствительности'!$C$1:$I$1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чувствительности'!$C$17:$I$17</c:f>
              <c:numCache>
                <c:formatCode>#,##0</c:formatCode>
                <c:ptCount val="7"/>
                <c:pt idx="0">
                  <c:v>1855544.4241749155</c:v>
                </c:pt>
                <c:pt idx="1">
                  <c:v>1949342.156957201</c:v>
                </c:pt>
                <c:pt idx="2">
                  <c:v>2050592.6662664847</c:v>
                </c:pt>
                <c:pt idx="3">
                  <c:v>2160098.9878965328</c:v>
                </c:pt>
                <c:pt idx="4">
                  <c:v>2278772.2763560652</c:v>
                </c:pt>
                <c:pt idx="5">
                  <c:v>2407649.2309578904</c:v>
                </c:pt>
                <c:pt idx="6">
                  <c:v>2547912.7966295332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3E-49E3-9D79-6B32B2E80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601872"/>
        <c:axId val="-349608400"/>
      </c:lineChart>
      <c:catAx>
        <c:axId val="-349601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608400"/>
        <c:crosses val="autoZero"/>
        <c:auto val="1"/>
        <c:lblAlgn val="ctr"/>
        <c:lblOffset val="100"/>
        <c:noMultiLvlLbl val="0"/>
      </c:catAx>
      <c:valAx>
        <c:axId val="-349608400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496018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дисконтированного периода окупаемости при изменении ставки дисконтирования, мес.</a:t>
            </a:r>
          </a:p>
        </c:rich>
      </c:tx>
      <c:layout>
        <c:manualLayout>
          <c:xMode val="edge"/>
          <c:yMode val="edge"/>
          <c:x val="0.178637124362264"/>
          <c:y val="3.201704455617750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04AA-4C13-A45B-9A4C7374D18E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чувствительности'!$C$16:$I$16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чувствительности'!$C$18:$I$18</c:f>
              <c:numCache>
                <c:formatCode>0</c:formatCode>
                <c:ptCount val="7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AA-4C13-A45B-9A4C7374D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607312"/>
        <c:axId val="-349606224"/>
      </c:lineChart>
      <c:catAx>
        <c:axId val="-34960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606224"/>
        <c:crosses val="autoZero"/>
        <c:auto val="1"/>
        <c:lblAlgn val="ctr"/>
        <c:lblOffset val="100"/>
        <c:noMultiLvlLbl val="0"/>
      </c:catAx>
      <c:valAx>
        <c:axId val="-349606224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crossAx val="-3496073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uk-UA" sz="1100"/>
              <a:t>Динамика индекса прибыльности при изменении ставки дисконтирования, раз</a:t>
            </a:r>
          </a:p>
        </c:rich>
      </c:tx>
      <c:layout>
        <c:manualLayout>
          <c:xMode val="edge"/>
          <c:yMode val="edge"/>
          <c:x val="0.178637124362264"/>
          <c:y val="3.201704455617750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0-FB36-4644-BEC0-DA0746C62FA4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'Анализ чувствительности'!$C$16:$I$16</c:f>
              <c:numCache>
                <c:formatCode>General</c:formatCode>
                <c:ptCount val="7"/>
                <c:pt idx="0">
                  <c:v>130</c:v>
                </c:pt>
                <c:pt idx="1">
                  <c:v>120</c:v>
                </c:pt>
                <c:pt idx="2">
                  <c:v>110</c:v>
                </c:pt>
                <c:pt idx="3">
                  <c:v>100</c:v>
                </c:pt>
                <c:pt idx="4">
                  <c:v>90</c:v>
                </c:pt>
                <c:pt idx="5">
                  <c:v>80</c:v>
                </c:pt>
                <c:pt idx="6">
                  <c:v>70</c:v>
                </c:pt>
              </c:numCache>
            </c:numRef>
          </c:cat>
          <c:val>
            <c:numRef>
              <c:f>'Анализ чувствительности'!$C$19:$I$19</c:f>
              <c:numCache>
                <c:formatCode>0.00</c:formatCode>
                <c:ptCount val="7"/>
                <c:pt idx="0">
                  <c:v>8.3244236515839489</c:v>
                </c:pt>
                <c:pt idx="1">
                  <c:v>8.7452230973234393</c:v>
                </c:pt>
                <c:pt idx="2">
                  <c:v>9.1994575114652104</c:v>
                </c:pt>
                <c:pt idx="3">
                  <c:v>9.690729507920091</c:v>
                </c:pt>
                <c:pt idx="4">
                  <c:v>10.223126747454277</c:v>
                </c:pt>
                <c:pt idx="5">
                  <c:v>10.801300115364121</c:v>
                </c:pt>
                <c:pt idx="6">
                  <c:v>11.430556590348122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36-4644-BEC0-DA0746C62F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49598064"/>
        <c:axId val="-349604048"/>
      </c:lineChart>
      <c:catAx>
        <c:axId val="-349598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349604048"/>
        <c:crosses val="autoZero"/>
        <c:auto val="1"/>
        <c:lblAlgn val="ctr"/>
        <c:lblOffset val="100"/>
        <c:noMultiLvlLbl val="0"/>
      </c:catAx>
      <c:valAx>
        <c:axId val="-349604048"/>
        <c:scaling>
          <c:orientation val="minMax"/>
        </c:scaling>
        <c:delete val="0"/>
        <c:axPos val="l"/>
        <c:numFmt formatCode="0.00" sourceLinked="1"/>
        <c:majorTickMark val="out"/>
        <c:minorTickMark val="none"/>
        <c:tickLblPos val="nextTo"/>
        <c:crossAx val="-3495980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01429783290301"/>
          <c:y val="6.8735053951589395E-2"/>
          <c:w val="0.81734294245365202"/>
          <c:h val="0.83155223778845799"/>
        </c:manualLayout>
      </c:layout>
      <c:lineChart>
        <c:grouping val="standard"/>
        <c:varyColors val="0"/>
        <c:ser>
          <c:idx val="0"/>
          <c:order val="0"/>
          <c:tx>
            <c:strRef>
              <c:f>'Безубыт-ть'!$A$8</c:f>
              <c:strCache>
                <c:ptCount val="1"/>
                <c:pt idx="0">
                  <c:v>Выручка</c:v>
                </c:pt>
              </c:strCache>
            </c:strRef>
          </c:tx>
          <c:marker>
            <c:symbol val="none"/>
          </c:marker>
          <c:dLbls>
            <c:delete val="1"/>
          </c:dLbls>
          <c:cat>
            <c:numRef>
              <c:f>'Безубыт-ть'!$B$7:$I$7</c:f>
              <c:numCache>
                <c:formatCode>0%</c:formatCode>
                <c:ptCount val="8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6.0000000000000005E-2</c:v>
                </c:pt>
                <c:pt idx="6">
                  <c:v>7.0000000000000007E-2</c:v>
                </c:pt>
                <c:pt idx="7">
                  <c:v>0.08</c:v>
                </c:pt>
              </c:numCache>
            </c:numRef>
          </c:cat>
          <c:val>
            <c:numRef>
              <c:f>'Безубыт-ть'!$B$8:$I$8</c:f>
              <c:numCache>
                <c:formatCode>#,##0</c:formatCode>
                <c:ptCount val="8"/>
                <c:pt idx="0">
                  <c:v>25575.267199930564</c:v>
                </c:pt>
                <c:pt idx="1">
                  <c:v>51150.534399861128</c:v>
                </c:pt>
                <c:pt idx="2">
                  <c:v>76725.801599791681</c:v>
                </c:pt>
                <c:pt idx="3">
                  <c:v>102301.06879972226</c:v>
                </c:pt>
                <c:pt idx="4">
                  <c:v>127876.33599965282</c:v>
                </c:pt>
                <c:pt idx="5">
                  <c:v>153451.60319958339</c:v>
                </c:pt>
                <c:pt idx="6">
                  <c:v>179026.87039951395</c:v>
                </c:pt>
                <c:pt idx="7">
                  <c:v>204602.13759944451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1F-4007-BA84-9D2E48D6C7B9}"/>
            </c:ext>
          </c:extLst>
        </c:ser>
        <c:ser>
          <c:idx val="1"/>
          <c:order val="1"/>
          <c:tx>
            <c:strRef>
              <c:f>'Безубыт-ть'!$A$11</c:f>
              <c:strCache>
                <c:ptCount val="1"/>
                <c:pt idx="0">
                  <c:v>Полные затраты</c:v>
                </c:pt>
              </c:strCache>
            </c:strRef>
          </c:tx>
          <c:marker>
            <c:symbol val="none"/>
          </c:marker>
          <c:dLbls>
            <c:delete val="1"/>
          </c:dLbls>
          <c:cat>
            <c:numRef>
              <c:f>'Безубыт-ть'!$B$7:$I$7</c:f>
              <c:numCache>
                <c:formatCode>0%</c:formatCode>
                <c:ptCount val="8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6.0000000000000005E-2</c:v>
                </c:pt>
                <c:pt idx="6">
                  <c:v>7.0000000000000007E-2</c:v>
                </c:pt>
                <c:pt idx="7">
                  <c:v>0.08</c:v>
                </c:pt>
              </c:numCache>
            </c:numRef>
          </c:cat>
          <c:val>
            <c:numRef>
              <c:f>'Безубыт-ть'!$B$11:$I$11</c:f>
              <c:numCache>
                <c:formatCode>#,##0</c:formatCode>
                <c:ptCount val="8"/>
                <c:pt idx="0">
                  <c:v>52794.012174932432</c:v>
                </c:pt>
                <c:pt idx="1">
                  <c:v>68962.924524241011</c:v>
                </c:pt>
                <c:pt idx="2">
                  <c:v>85131.836873549575</c:v>
                </c:pt>
                <c:pt idx="3">
                  <c:v>101300.74922285815</c:v>
                </c:pt>
                <c:pt idx="4">
                  <c:v>117469.66157216672</c:v>
                </c:pt>
                <c:pt idx="5">
                  <c:v>133638.5739214753</c:v>
                </c:pt>
                <c:pt idx="6">
                  <c:v>149807.48627078388</c:v>
                </c:pt>
                <c:pt idx="7">
                  <c:v>165976.39862009246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81F-4007-BA84-9D2E48D6C7B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-349605680"/>
        <c:axId val="-349603504"/>
      </c:lineChart>
      <c:catAx>
        <c:axId val="-349605680"/>
        <c:scaling>
          <c:orientation val="minMax"/>
        </c:scaling>
        <c:delete val="0"/>
        <c:axPos val="b"/>
        <c:numFmt formatCode="0%" sourceLinked="1"/>
        <c:majorTickMark val="out"/>
        <c:minorTickMark val="none"/>
        <c:tickLblPos val="nextTo"/>
        <c:crossAx val="-349603504"/>
        <c:crosses val="autoZero"/>
        <c:auto val="1"/>
        <c:lblAlgn val="ctr"/>
        <c:lblOffset val="100"/>
        <c:noMultiLvlLbl val="0"/>
      </c:catAx>
      <c:valAx>
        <c:axId val="-349603504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-34960568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64135109102256005"/>
          <c:y val="0.70345352285509799"/>
          <c:w val="0.31351576834969502"/>
          <c:h val="0.130312710911136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5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chart" Target="../charts/chart24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4</xdr:col>
      <xdr:colOff>285750</xdr:colOff>
      <xdr:row>19</xdr:row>
      <xdr:rowOff>164880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C23FB411-387C-4D76-A352-A1C73C0D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7</xdr:row>
      <xdr:rowOff>0</xdr:rowOff>
    </xdr:from>
    <xdr:to>
      <xdr:col>12</xdr:col>
      <xdr:colOff>598170</xdr:colOff>
      <xdr:row>19</xdr:row>
      <xdr:rowOff>164880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198D9797-58FB-4543-BFD9-14B052D236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</xdr:colOff>
      <xdr:row>20</xdr:row>
      <xdr:rowOff>163830</xdr:rowOff>
    </xdr:from>
    <xdr:to>
      <xdr:col>11</xdr:col>
      <xdr:colOff>15240</xdr:colOff>
      <xdr:row>38</xdr:row>
      <xdr:rowOff>30480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552450</xdr:colOff>
      <xdr:row>21</xdr:row>
      <xdr:rowOff>3810</xdr:rowOff>
    </xdr:from>
    <xdr:to>
      <xdr:col>20</xdr:col>
      <xdr:colOff>266700</xdr:colOff>
      <xdr:row>37</xdr:row>
      <xdr:rowOff>167640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1FF5BFCA-311E-44B9-83E1-C004A3E912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2099732</xdr:colOff>
      <xdr:row>65</xdr:row>
      <xdr:rowOff>177799</xdr:rowOff>
    </xdr:from>
    <xdr:to>
      <xdr:col>9</xdr:col>
      <xdr:colOff>440266</xdr:colOff>
      <xdr:row>88</xdr:row>
      <xdr:rowOff>16932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55F670F9-38C7-4653-8058-BC8B7A1090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469231</xdr:colOff>
      <xdr:row>17</xdr:row>
      <xdr:rowOff>160421</xdr:rowOff>
    </xdr:from>
    <xdr:to>
      <xdr:col>10</xdr:col>
      <xdr:colOff>348915</xdr:colOff>
      <xdr:row>33</xdr:row>
      <xdr:rowOff>80211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633E6BA5-07E4-4922-A264-DF7C2FCB71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62</xdr:col>
      <xdr:colOff>11430</xdr:colOff>
      <xdr:row>25</xdr:row>
      <xdr:rowOff>0</xdr:rowOff>
    </xdr:from>
    <xdr:to>
      <xdr:col>68</xdr:col>
      <xdr:colOff>0</xdr:colOff>
      <xdr:row>40</xdr:row>
      <xdr:rowOff>114300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68</xdr:col>
      <xdr:colOff>236220</xdr:colOff>
      <xdr:row>25</xdr:row>
      <xdr:rowOff>0</xdr:rowOff>
    </xdr:from>
    <xdr:to>
      <xdr:col>80</xdr:col>
      <xdr:colOff>297420</xdr:colOff>
      <xdr:row>40</xdr:row>
      <xdr:rowOff>114300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62</xdr:col>
      <xdr:colOff>598170</xdr:colOff>
      <xdr:row>25</xdr:row>
      <xdr:rowOff>0</xdr:rowOff>
    </xdr:from>
    <xdr:to>
      <xdr:col>71</xdr:col>
      <xdr:colOff>571500</xdr:colOff>
      <xdr:row>42</xdr:row>
      <xdr:rowOff>30480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61912</xdr:colOff>
      <xdr:row>25</xdr:row>
      <xdr:rowOff>19055</xdr:rowOff>
    </xdr:from>
    <xdr:to>
      <xdr:col>9</xdr:col>
      <xdr:colOff>404812</xdr:colOff>
      <xdr:row>40</xdr:row>
      <xdr:rowOff>119068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9E79CCCF-C1B3-F938-E42D-FDEE57D2FB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60960</xdr:colOff>
      <xdr:row>26</xdr:row>
      <xdr:rowOff>22860</xdr:rowOff>
    </xdr:from>
    <xdr:to>
      <xdr:col>15</xdr:col>
      <xdr:colOff>38100</xdr:colOff>
      <xdr:row>41</xdr:row>
      <xdr:rowOff>129540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76198</xdr:colOff>
      <xdr:row>43</xdr:row>
      <xdr:rowOff>107155</xdr:rowOff>
    </xdr:from>
    <xdr:to>
      <xdr:col>15</xdr:col>
      <xdr:colOff>57149</xdr:colOff>
      <xdr:row>59</xdr:row>
      <xdr:rowOff>30955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C78D5797-8D5B-72DB-691B-F8A28F95FA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357187</xdr:colOff>
      <xdr:row>20</xdr:row>
      <xdr:rowOff>14287</xdr:rowOff>
    </xdr:from>
    <xdr:to>
      <xdr:col>5</xdr:col>
      <xdr:colOff>33337</xdr:colOff>
      <xdr:row>34</xdr:row>
      <xdr:rowOff>90487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328612</xdr:colOff>
      <xdr:row>35</xdr:row>
      <xdr:rowOff>4762</xdr:rowOff>
    </xdr:from>
    <xdr:to>
      <xdr:col>5</xdr:col>
      <xdr:colOff>4762</xdr:colOff>
      <xdr:row>49</xdr:row>
      <xdr:rowOff>80962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342900</xdr:colOff>
      <xdr:row>49</xdr:row>
      <xdr:rowOff>180975</xdr:rowOff>
    </xdr:from>
    <xdr:to>
      <xdr:col>5</xdr:col>
      <xdr:colOff>19050</xdr:colOff>
      <xdr:row>64</xdr:row>
      <xdr:rowOff>66675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352425</xdr:colOff>
      <xdr:row>64</xdr:row>
      <xdr:rowOff>180975</xdr:rowOff>
    </xdr:from>
    <xdr:to>
      <xdr:col>5</xdr:col>
      <xdr:colOff>28575</xdr:colOff>
      <xdr:row>79</xdr:row>
      <xdr:rowOff>66675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352425</xdr:colOff>
      <xdr:row>80</xdr:row>
      <xdr:rowOff>9525</xdr:rowOff>
    </xdr:from>
    <xdr:to>
      <xdr:col>5</xdr:col>
      <xdr:colOff>28575</xdr:colOff>
      <xdr:row>94</xdr:row>
      <xdr:rowOff>85725</xdr:rowOff>
    </xdr:to>
    <xdr:graphicFrame macro="">
      <xdr:nvGraphicFramePr>
        <xdr:cNvPr id="6" name="Диаграмма 5">
          <a:extLst>
            <a:ext uri="{FF2B5EF4-FFF2-40B4-BE49-F238E27FC236}">
              <a16:creationId xmlns:a16="http://schemas.microsoft.com/office/drawing/2014/main" id="{00000000-0008-0000-1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443865</xdr:colOff>
      <xdr:row>20</xdr:row>
      <xdr:rowOff>32385</xdr:rowOff>
    </xdr:from>
    <xdr:to>
      <xdr:col>12</xdr:col>
      <xdr:colOff>41910</xdr:colOff>
      <xdr:row>34</xdr:row>
      <xdr:rowOff>93345</xdr:rowOff>
    </xdr:to>
    <xdr:graphicFrame macro="">
      <xdr:nvGraphicFramePr>
        <xdr:cNvPr id="7" name="Диаграмма 6">
          <a:extLst>
            <a:ext uri="{FF2B5EF4-FFF2-40B4-BE49-F238E27FC236}">
              <a16:creationId xmlns:a16="http://schemas.microsoft.com/office/drawing/2014/main" id="{00000000-0008-0000-1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464820</xdr:colOff>
      <xdr:row>35</xdr:row>
      <xdr:rowOff>38100</xdr:rowOff>
    </xdr:from>
    <xdr:to>
      <xdr:col>12</xdr:col>
      <xdr:colOff>62865</xdr:colOff>
      <xdr:row>49</xdr:row>
      <xdr:rowOff>114300</xdr:rowOff>
    </xdr:to>
    <xdr:graphicFrame macro="">
      <xdr:nvGraphicFramePr>
        <xdr:cNvPr id="8" name="Диаграмма 7">
          <a:extLst>
            <a:ext uri="{FF2B5EF4-FFF2-40B4-BE49-F238E27FC236}">
              <a16:creationId xmlns:a16="http://schemas.microsoft.com/office/drawing/2014/main" id="{00000000-0008-0000-12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487680</xdr:colOff>
      <xdr:row>50</xdr:row>
      <xdr:rowOff>7620</xdr:rowOff>
    </xdr:from>
    <xdr:to>
      <xdr:col>12</xdr:col>
      <xdr:colOff>85725</xdr:colOff>
      <xdr:row>64</xdr:row>
      <xdr:rowOff>83820</xdr:rowOff>
    </xdr:to>
    <xdr:graphicFrame macro="">
      <xdr:nvGraphicFramePr>
        <xdr:cNvPr id="9" name="Диаграмма 8">
          <a:extLst>
            <a:ext uri="{FF2B5EF4-FFF2-40B4-BE49-F238E27FC236}">
              <a16:creationId xmlns:a16="http://schemas.microsoft.com/office/drawing/2014/main" id="{00000000-0008-0000-12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502920</xdr:colOff>
      <xdr:row>65</xdr:row>
      <xdr:rowOff>7620</xdr:rowOff>
    </xdr:from>
    <xdr:to>
      <xdr:col>12</xdr:col>
      <xdr:colOff>100965</xdr:colOff>
      <xdr:row>79</xdr:row>
      <xdr:rowOff>83820</xdr:rowOff>
    </xdr:to>
    <xdr:graphicFrame macro="">
      <xdr:nvGraphicFramePr>
        <xdr:cNvPr id="10" name="Диаграмма 9">
          <a:extLst>
            <a:ext uri="{FF2B5EF4-FFF2-40B4-BE49-F238E27FC236}">
              <a16:creationId xmlns:a16="http://schemas.microsoft.com/office/drawing/2014/main" id="{00000000-0008-0000-12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533400</xdr:colOff>
      <xdr:row>80</xdr:row>
      <xdr:rowOff>15240</xdr:rowOff>
    </xdr:from>
    <xdr:to>
      <xdr:col>12</xdr:col>
      <xdr:colOff>131445</xdr:colOff>
      <xdr:row>94</xdr:row>
      <xdr:rowOff>91440</xdr:rowOff>
    </xdr:to>
    <xdr:graphicFrame macro="">
      <xdr:nvGraphicFramePr>
        <xdr:cNvPr id="11" name="Диаграмма 10">
          <a:extLst>
            <a:ext uri="{FF2B5EF4-FFF2-40B4-BE49-F238E27FC236}">
              <a16:creationId xmlns:a16="http://schemas.microsoft.com/office/drawing/2014/main" id="{00000000-0008-0000-12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12</xdr:col>
      <xdr:colOff>457200</xdr:colOff>
      <xdr:row>20</xdr:row>
      <xdr:rowOff>60960</xdr:rowOff>
    </xdr:from>
    <xdr:to>
      <xdr:col>20</xdr:col>
      <xdr:colOff>30480</xdr:colOff>
      <xdr:row>34</xdr:row>
      <xdr:rowOff>137160</xdr:rowOff>
    </xdr:to>
    <xdr:graphicFrame macro="">
      <xdr:nvGraphicFramePr>
        <xdr:cNvPr id="12" name="Диаграмма 11">
          <a:extLst>
            <a:ext uri="{FF2B5EF4-FFF2-40B4-BE49-F238E27FC236}">
              <a16:creationId xmlns:a16="http://schemas.microsoft.com/office/drawing/2014/main" id="{00000000-0008-0000-12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12</xdr:col>
      <xdr:colOff>480060</xdr:colOff>
      <xdr:row>35</xdr:row>
      <xdr:rowOff>83820</xdr:rowOff>
    </xdr:from>
    <xdr:to>
      <xdr:col>20</xdr:col>
      <xdr:colOff>53340</xdr:colOff>
      <xdr:row>49</xdr:row>
      <xdr:rowOff>160020</xdr:rowOff>
    </xdr:to>
    <xdr:graphicFrame macro="">
      <xdr:nvGraphicFramePr>
        <xdr:cNvPr id="13" name="Диаграмма 12">
          <a:extLst>
            <a:ext uri="{FF2B5EF4-FFF2-40B4-BE49-F238E27FC236}">
              <a16:creationId xmlns:a16="http://schemas.microsoft.com/office/drawing/2014/main" id="{00000000-0008-0000-12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13</xdr:col>
      <xdr:colOff>0</xdr:colOff>
      <xdr:row>51</xdr:row>
      <xdr:rowOff>0</xdr:rowOff>
    </xdr:from>
    <xdr:to>
      <xdr:col>20</xdr:col>
      <xdr:colOff>167640</xdr:colOff>
      <xdr:row>65</xdr:row>
      <xdr:rowOff>76200</xdr:rowOff>
    </xdr:to>
    <xdr:graphicFrame macro="">
      <xdr:nvGraphicFramePr>
        <xdr:cNvPr id="14" name="Диаграмма 13">
          <a:extLst>
            <a:ext uri="{FF2B5EF4-FFF2-40B4-BE49-F238E27FC236}">
              <a16:creationId xmlns:a16="http://schemas.microsoft.com/office/drawing/2014/main" id="{0D74B239-3DBF-4489-B777-68196A47A3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671511</xdr:colOff>
      <xdr:row>14</xdr:row>
      <xdr:rowOff>20106</xdr:rowOff>
    </xdr:from>
    <xdr:to>
      <xdr:col>5</xdr:col>
      <xdr:colOff>391582</xdr:colOff>
      <xdr:row>45</xdr:row>
      <xdr:rowOff>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RC\&#1041;&#1055;%20&#1075;&#1086;&#1089;&#1090;&#1080;&#1085;&#1080;&#1094;&#1099;%202012_&#1080;&#1102;&#1085;\&#1040;&#1088;&#1093;&#1080;&#1074;\&#1041;&#1055;%20&#1075;&#1086;&#1089;&#1090;&#1080;&#1085;&#1080;&#1094;&#1099;%20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usiness%20Plans%202015\&#1041;&#1080;&#1079;&#1085;&#1077;&#1089;-&#1087;&#1083;&#1072;&#1085;%20%20&#1057;&#1077;&#1083;&#1100;&#1089;&#1082;&#1086;&#1077;%20&#1093;&#1086;&#1079;&#1103;&#1081;&#1089;&#1090;&#1074;&#1086;\&#1060;&#1080;&#1085;.%20&#1084;&#1086;&#1076;&#1077;&#1083;&#1100;%20&#1103;&#1075;&#1086;&#1076;&#1085;&#1080;&#1082;,%20&#1089;&#1072;&#1076;\&#1060;&#1080;&#1085;&#1072;&#1083;&#1100;&#1085;&#1099;&#1077;%20&#1074;&#1077;&#1088;&#1089;&#1080;&#1080;\&#1060;&#1052;_&#1071;&#1075;&#1086;&#1076;&#1085;&#1080;&#1082;_Final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роект"/>
      <sheetName val="Анализ"/>
      <sheetName val="Отчет"/>
      <sheetName val="Опции"/>
      <sheetName val="Язык"/>
      <sheetName val="Основные параметры"/>
      <sheetName val="Услуги проекта"/>
      <sheetName val="Сезонность"/>
      <sheetName val="Расходы"/>
      <sheetName val="Персонал"/>
      <sheetName val="Инвестиции"/>
      <sheetName val="Строительство"/>
      <sheetName val="Оборудование"/>
      <sheetName val="Безубыточность"/>
      <sheetName val="Финансирование"/>
      <sheetName val="Кредит"/>
      <sheetName val="Эффективность"/>
    </sheetNames>
    <sheetDataSet>
      <sheetData sheetId="0">
        <row r="7">
          <cell r="D7">
            <v>38353</v>
          </cell>
        </row>
        <row r="8">
          <cell r="D8">
            <v>48</v>
          </cell>
        </row>
        <row r="9">
          <cell r="D9">
            <v>2</v>
          </cell>
          <cell r="E9" t="str">
            <v>кв.</v>
          </cell>
        </row>
        <row r="10">
          <cell r="D10">
            <v>90</v>
          </cell>
        </row>
        <row r="11">
          <cell r="B11" t="str">
            <v>тыс. руб.</v>
          </cell>
          <cell r="D11">
            <v>5</v>
          </cell>
        </row>
        <row r="12">
          <cell r="B12" t="str">
            <v>$</v>
          </cell>
          <cell r="D12">
            <v>1</v>
          </cell>
        </row>
        <row r="18">
          <cell r="D18" t="b">
            <v>0</v>
          </cell>
        </row>
        <row r="19">
          <cell r="B19" t="str">
            <v>тыс. руб.</v>
          </cell>
          <cell r="D19">
            <v>1</v>
          </cell>
        </row>
        <row r="20">
          <cell r="D20" t="b">
            <v>0</v>
          </cell>
        </row>
        <row r="25">
          <cell r="F25">
            <v>2005</v>
          </cell>
        </row>
        <row r="26">
          <cell r="F26">
            <v>1</v>
          </cell>
        </row>
        <row r="32">
          <cell r="F32" t="str">
            <v>"0"</v>
          </cell>
          <cell r="G32" t="str">
            <v>1 кв.</v>
          </cell>
          <cell r="H32" t="str">
            <v>2 кв.</v>
          </cell>
          <cell r="I32" t="str">
            <v>3 кв.</v>
          </cell>
          <cell r="J32" t="str">
            <v>4 кв.</v>
          </cell>
          <cell r="K32" t="str">
            <v>5 кв.</v>
          </cell>
          <cell r="L32" t="str">
            <v>6 кв.</v>
          </cell>
          <cell r="M32" t="str">
            <v>7 кв.</v>
          </cell>
          <cell r="N32" t="str">
            <v>8 кв.</v>
          </cell>
          <cell r="O32" t="str">
            <v>9 кв.</v>
          </cell>
          <cell r="P32" t="str">
            <v>10 кв.</v>
          </cell>
          <cell r="Q32" t="str">
            <v>11 кв.</v>
          </cell>
          <cell r="R32" t="str">
            <v>12 кв.</v>
          </cell>
          <cell r="S32" t="str">
            <v>13 кв.</v>
          </cell>
          <cell r="T32" t="str">
            <v>14 кв.</v>
          </cell>
          <cell r="U32" t="str">
            <v>15 кв.</v>
          </cell>
          <cell r="V32" t="str">
            <v>16 кв.</v>
          </cell>
          <cell r="W32" t="str">
            <v>17 кв.</v>
          </cell>
          <cell r="X32" t="str">
            <v>18 кв.</v>
          </cell>
          <cell r="Y32" t="str">
            <v>19 кв.</v>
          </cell>
          <cell r="Z32" t="str">
            <v>20 кв.</v>
          </cell>
          <cell r="AA32" t="str">
            <v>21 кв.</v>
          </cell>
          <cell r="AB32" t="str">
            <v>22 кв.</v>
          </cell>
          <cell r="AC32" t="str">
            <v>23 кв.</v>
          </cell>
          <cell r="AD32" t="str">
            <v>24 кв.</v>
          </cell>
          <cell r="AE32" t="str">
            <v>25 кв.</v>
          </cell>
          <cell r="AF32" t="str">
            <v>26 кв.</v>
          </cell>
          <cell r="AG32" t="str">
            <v>27 кв.</v>
          </cell>
          <cell r="AH32" t="str">
            <v>28 кв.</v>
          </cell>
          <cell r="AI32" t="str">
            <v>29 кв.</v>
          </cell>
          <cell r="AJ32" t="str">
            <v>30 кв.</v>
          </cell>
          <cell r="AK32" t="str">
            <v>31 кв.</v>
          </cell>
          <cell r="AL32" t="str">
            <v>32 кв.</v>
          </cell>
          <cell r="AM32" t="str">
            <v>33 кв.</v>
          </cell>
          <cell r="AN32" t="str">
            <v>34 кв.</v>
          </cell>
          <cell r="AO32" t="str">
            <v>35 кв.</v>
          </cell>
          <cell r="AP32" t="str">
            <v>36 кв.</v>
          </cell>
          <cell r="AQ32" t="str">
            <v>37 кв.</v>
          </cell>
          <cell r="AR32" t="str">
            <v>38 кв.</v>
          </cell>
          <cell r="AS32" t="str">
            <v>39 кв.</v>
          </cell>
          <cell r="AT32" t="str">
            <v>40 кв.</v>
          </cell>
          <cell r="AU32" t="str">
            <v>41 кв.</v>
          </cell>
          <cell r="AV32" t="str">
            <v>42 кв.</v>
          </cell>
          <cell r="AW32" t="str">
            <v>43 кв.</v>
          </cell>
          <cell r="AX32" t="str">
            <v>44 кв.</v>
          </cell>
          <cell r="AY32" t="str">
            <v>45 кв.</v>
          </cell>
          <cell r="AZ32" t="str">
            <v>46 кв.</v>
          </cell>
          <cell r="BA32" t="str">
            <v>47 кв.</v>
          </cell>
          <cell r="BB32" t="str">
            <v>48 кв.</v>
          </cell>
        </row>
        <row r="34">
          <cell r="F34">
            <v>2</v>
          </cell>
        </row>
        <row r="729">
          <cell r="B729">
            <v>0</v>
          </cell>
        </row>
        <row r="731">
          <cell r="B731">
            <v>0</v>
          </cell>
        </row>
        <row r="735">
          <cell r="B735">
            <v>0</v>
          </cell>
        </row>
        <row r="740">
          <cell r="B740">
            <v>0</v>
          </cell>
          <cell r="C740">
            <v>0</v>
          </cell>
        </row>
        <row r="741">
          <cell r="B741">
            <v>0</v>
          </cell>
          <cell r="C741">
            <v>0</v>
          </cell>
        </row>
        <row r="752">
          <cell r="B752">
            <v>1</v>
          </cell>
          <cell r="C752">
            <v>30</v>
          </cell>
        </row>
        <row r="753">
          <cell r="B753">
            <v>0</v>
          </cell>
          <cell r="C753">
            <v>0</v>
          </cell>
        </row>
        <row r="862">
          <cell r="B862">
            <v>0.18</v>
          </cell>
        </row>
        <row r="863">
          <cell r="B863">
            <v>30</v>
          </cell>
        </row>
        <row r="864">
          <cell r="B864">
            <v>2</v>
          </cell>
        </row>
        <row r="865">
          <cell r="B865">
            <v>1</v>
          </cell>
        </row>
        <row r="918">
          <cell r="B918">
            <v>0.2</v>
          </cell>
        </row>
        <row r="919">
          <cell r="B919">
            <v>90</v>
          </cell>
        </row>
      </sheetData>
      <sheetData sheetId="1">
        <row r="9">
          <cell r="E9">
            <v>5</v>
          </cell>
        </row>
      </sheetData>
      <sheetData sheetId="2" refreshError="1"/>
      <sheetData sheetId="3">
        <row r="5">
          <cell r="B5" t="str">
            <v>5.01</v>
          </cell>
        </row>
        <row r="10">
          <cell r="B10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Допущения"/>
      <sheetName val="Базовая информация"/>
      <sheetName val="Малина летняя"/>
      <sheetName val="Малина ремонтантная"/>
      <sheetName val="Голубика"/>
      <sheetName val="Черешня"/>
      <sheetName val="Вишня"/>
      <sheetName val="Питомник"/>
      <sheetName val="Выручка"/>
      <sheetName val="Персонал"/>
      <sheetName val="Затраты"/>
      <sheetName val="Налоги"/>
      <sheetName val="Капвложения"/>
      <sheetName val="Амортизация"/>
      <sheetName val="Инвестиции"/>
      <sheetName val="ОПУ"/>
      <sheetName val="ОДДС"/>
      <sheetName val="WACC"/>
      <sheetName val="CF"/>
      <sheetName val="Показатели эффективности"/>
      <sheetName val="Анализ чувствительности"/>
      <sheetName val="Безубыт-ть"/>
    </sheetNames>
    <sheetDataSet>
      <sheetData sheetId="0">
        <row r="3">
          <cell r="C3">
            <v>42370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13">
          <cell r="B13">
            <v>0</v>
          </cell>
        </row>
      </sheetData>
      <sheetData sheetId="9">
        <row r="6">
          <cell r="B6">
            <v>59400</v>
          </cell>
        </row>
      </sheetData>
      <sheetData sheetId="10">
        <row r="6">
          <cell r="B6">
            <v>59400</v>
          </cell>
        </row>
      </sheetData>
      <sheetData sheetId="11"/>
      <sheetData sheetId="12">
        <row r="28">
          <cell r="B28">
            <v>84614.166666666672</v>
          </cell>
        </row>
      </sheetData>
      <sheetData sheetId="13"/>
      <sheetData sheetId="14"/>
      <sheetData sheetId="15">
        <row r="13">
          <cell r="B13">
            <v>-115426.24702899999</v>
          </cell>
        </row>
      </sheetData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Другая 2">
      <a:majorFont>
        <a:latin typeface="Times New Roman"/>
        <a:ea typeface=""/>
        <a:cs typeface=""/>
      </a:majorFont>
      <a:minorFont>
        <a:latin typeface="Times New Roman"/>
        <a:ea typeface=""/>
        <a:cs typeface="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br.ru/Collection/Collection/File/32179/Bbs_2103_r.pdf" TargetMode="External"/><Relationship Id="rId3" Type="http://schemas.openxmlformats.org/officeDocument/2006/relationships/hyperlink" Target="http://www.andersen-bs.ru/index.php?id=98" TargetMode="External"/><Relationship Id="rId7" Type="http://schemas.openxmlformats.org/officeDocument/2006/relationships/hyperlink" Target="https://www.cbr.ru/Collection/Collection/File/32179/Bbs_2103_r.pdf" TargetMode="External"/><Relationship Id="rId2" Type="http://schemas.openxmlformats.org/officeDocument/2006/relationships/hyperlink" Target="http://pages.stern.nyu.edu/~adamodar/New_Home_Page/datafile/Betas.html" TargetMode="External"/><Relationship Id="rId1" Type="http://schemas.openxmlformats.org/officeDocument/2006/relationships/hyperlink" Target="http://pages.stern.nyu.edu/~adamodar/New_Home_Page/datafile/Betas.html" TargetMode="External"/><Relationship Id="rId6" Type="http://schemas.openxmlformats.org/officeDocument/2006/relationships/hyperlink" Target="http://pages.stern.nyu.edu/~adamodar/" TargetMode="External"/><Relationship Id="rId5" Type="http://schemas.openxmlformats.org/officeDocument/2006/relationships/hyperlink" Target="https://www.tradingview.com/symbols/TVC-US30Y/" TargetMode="External"/><Relationship Id="rId4" Type="http://schemas.openxmlformats.org/officeDocument/2006/relationships/hyperlink" Target="http://pages.stern.nyu.edu/~adamodar/New_Home_Page/datafile/ctryprem.html" TargetMode="External"/><Relationship Id="rId9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H71"/>
  <sheetViews>
    <sheetView zoomScaleNormal="100" zoomScalePageLayoutView="150" workbookViewId="0">
      <selection activeCell="J8" sqref="J8"/>
    </sheetView>
  </sheetViews>
  <sheetFormatPr defaultColWidth="8.5703125" defaultRowHeight="13.9"/>
  <cols>
    <col min="1" max="1" width="56.85546875" bestFit="1" customWidth="1"/>
    <col min="2" max="2" width="13.35546875" customWidth="1"/>
    <col min="3" max="3" width="19.42578125" customWidth="1"/>
    <col min="4" max="4" width="18.42578125" customWidth="1"/>
    <col min="5" max="5" width="15.5703125" customWidth="1"/>
    <col min="6" max="6" width="20.35546875" customWidth="1"/>
  </cols>
  <sheetData>
    <row r="1" spans="1:8" ht="22.5">
      <c r="A1" s="277" t="s">
        <v>366</v>
      </c>
      <c r="B1" s="277"/>
      <c r="C1" s="277"/>
      <c r="D1" s="277"/>
      <c r="E1" s="277"/>
      <c r="F1" s="277"/>
    </row>
    <row r="2" spans="1:8" ht="14.25" customHeight="1">
      <c r="A2" s="269" t="s">
        <v>159</v>
      </c>
      <c r="B2" s="269"/>
      <c r="C2" s="269" t="s">
        <v>238</v>
      </c>
      <c r="D2" s="269"/>
      <c r="E2" s="269" t="s">
        <v>160</v>
      </c>
      <c r="F2" s="269" t="s">
        <v>239</v>
      </c>
    </row>
    <row r="3" spans="1:8">
      <c r="A3" s="269"/>
      <c r="B3" s="269"/>
      <c r="C3" s="54" t="s">
        <v>161</v>
      </c>
      <c r="D3" s="54" t="s">
        <v>162</v>
      </c>
      <c r="E3" s="269"/>
      <c r="F3" s="269"/>
      <c r="G3" s="116"/>
      <c r="H3" s="116"/>
    </row>
    <row r="4" spans="1:8">
      <c r="A4" s="31" t="s">
        <v>159</v>
      </c>
      <c r="B4" s="31"/>
      <c r="C4" s="106">
        <v>45901</v>
      </c>
      <c r="D4" s="159">
        <f>EDATE(C4,F4)</f>
        <v>45992</v>
      </c>
      <c r="E4" s="159">
        <f>DATE(YEAR(D4),MONTH(D4)+0,1)</f>
        <v>45992</v>
      </c>
      <c r="F4" s="107">
        <v>3</v>
      </c>
      <c r="G4" s="116"/>
      <c r="H4" s="116"/>
    </row>
    <row r="5" spans="1:8">
      <c r="A5" s="160"/>
      <c r="B5" s="2"/>
      <c r="C5" s="161"/>
      <c r="E5" s="117"/>
      <c r="F5" s="118"/>
      <c r="G5" s="116"/>
      <c r="H5" s="116"/>
    </row>
    <row r="6" spans="1:8">
      <c r="A6" s="54" t="s">
        <v>0</v>
      </c>
      <c r="B6" s="54" t="s">
        <v>1</v>
      </c>
      <c r="C6" s="54" t="s">
        <v>2</v>
      </c>
      <c r="D6" s="54" t="s">
        <v>145</v>
      </c>
      <c r="E6" s="117"/>
      <c r="F6" s="118"/>
      <c r="G6" s="116"/>
      <c r="H6" s="116"/>
    </row>
    <row r="7" spans="1:8">
      <c r="A7" s="162" t="s">
        <v>229</v>
      </c>
      <c r="B7" s="28"/>
      <c r="C7" s="33"/>
      <c r="D7" s="167"/>
    </row>
    <row r="8" spans="1:8">
      <c r="A8" s="30" t="s">
        <v>298</v>
      </c>
      <c r="B8" s="77" t="s">
        <v>306</v>
      </c>
      <c r="C8" s="107">
        <v>240000</v>
      </c>
      <c r="D8" s="216"/>
      <c r="E8" s="117"/>
    </row>
    <row r="9" spans="1:8">
      <c r="A9" s="30" t="s">
        <v>299</v>
      </c>
      <c r="B9" s="77" t="s">
        <v>306</v>
      </c>
      <c r="C9" s="107">
        <v>120000</v>
      </c>
      <c r="D9" s="216"/>
      <c r="E9" s="117"/>
    </row>
    <row r="10" spans="1:8">
      <c r="A10" s="30" t="s">
        <v>300</v>
      </c>
      <c r="B10" s="77" t="s">
        <v>306</v>
      </c>
      <c r="C10" s="107">
        <v>120000</v>
      </c>
      <c r="E10" s="117"/>
      <c r="F10" s="118"/>
      <c r="G10" s="116"/>
      <c r="H10" s="116"/>
    </row>
    <row r="11" spans="1:8">
      <c r="A11" s="30" t="s">
        <v>301</v>
      </c>
      <c r="B11" s="77" t="s">
        <v>306</v>
      </c>
      <c r="C11" s="107">
        <v>120000</v>
      </c>
      <c r="E11" s="117"/>
      <c r="F11" s="118"/>
      <c r="G11" s="116"/>
      <c r="H11" s="116"/>
    </row>
    <row r="12" spans="1:8">
      <c r="A12" s="30" t="s">
        <v>302</v>
      </c>
      <c r="B12" s="77" t="s">
        <v>306</v>
      </c>
      <c r="C12" s="107">
        <v>105000</v>
      </c>
      <c r="E12" s="117"/>
      <c r="F12" s="118"/>
      <c r="G12" s="116"/>
      <c r="H12" s="116"/>
    </row>
    <row r="13" spans="1:8">
      <c r="A13" s="30" t="s">
        <v>303</v>
      </c>
      <c r="B13" s="77" t="s">
        <v>306</v>
      </c>
      <c r="C13" s="107">
        <v>150000</v>
      </c>
      <c r="E13" s="117"/>
      <c r="F13" s="118"/>
      <c r="G13" s="116"/>
      <c r="H13" s="116"/>
    </row>
    <row r="14" spans="1:8">
      <c r="A14" s="30" t="s">
        <v>304</v>
      </c>
      <c r="B14" s="77" t="s">
        <v>306</v>
      </c>
      <c r="C14" s="107">
        <v>105000</v>
      </c>
      <c r="E14" s="117"/>
      <c r="F14" s="118"/>
      <c r="G14" s="116"/>
      <c r="H14" s="116"/>
    </row>
    <row r="15" spans="1:8">
      <c r="A15" s="30" t="s">
        <v>305</v>
      </c>
      <c r="B15" s="77" t="s">
        <v>306</v>
      </c>
      <c r="C15" s="107">
        <v>100000</v>
      </c>
      <c r="E15" s="117"/>
      <c r="F15" s="118"/>
      <c r="G15" s="116"/>
      <c r="H15" s="116"/>
    </row>
    <row r="16" spans="1:8">
      <c r="A16" s="30" t="s">
        <v>150</v>
      </c>
      <c r="B16" s="77" t="s">
        <v>306</v>
      </c>
      <c r="C16" s="107">
        <v>0</v>
      </c>
      <c r="E16" s="117"/>
      <c r="F16" s="118"/>
      <c r="G16" s="116"/>
      <c r="H16" s="116"/>
    </row>
    <row r="17" spans="1:8">
      <c r="A17" s="30" t="s">
        <v>150</v>
      </c>
      <c r="B17" s="77" t="s">
        <v>306</v>
      </c>
      <c r="C17" s="107">
        <v>0</v>
      </c>
      <c r="E17" s="117"/>
      <c r="F17" s="118"/>
      <c r="G17" s="116"/>
      <c r="H17" s="116"/>
    </row>
    <row r="18" spans="1:8">
      <c r="A18" s="30"/>
      <c r="B18" s="77"/>
      <c r="C18" s="107"/>
      <c r="E18" s="117"/>
      <c r="F18" s="118"/>
      <c r="G18" s="116"/>
      <c r="H18" s="116"/>
    </row>
    <row r="19" spans="1:8">
      <c r="A19" s="162" t="s">
        <v>187</v>
      </c>
      <c r="B19" s="28"/>
      <c r="C19" s="33"/>
      <c r="D19" s="1"/>
    </row>
    <row r="20" spans="1:8">
      <c r="A20" s="30" t="str">
        <f>A8</f>
        <v>Свиные полутуши</v>
      </c>
      <c r="B20" s="229" t="s">
        <v>307</v>
      </c>
      <c r="C20" s="107">
        <v>202</v>
      </c>
      <c r="D20" s="216"/>
    </row>
    <row r="21" spans="1:8">
      <c r="A21" s="30" t="str">
        <f>A9</f>
        <v>Говядина четверти</v>
      </c>
      <c r="B21" s="229" t="s">
        <v>307</v>
      </c>
      <c r="C21" s="107">
        <v>475</v>
      </c>
    </row>
    <row r="22" spans="1:8">
      <c r="A22" s="30" t="str">
        <f t="shared" ref="A22:A29" si="0">A10</f>
        <v>Тушки куриные</v>
      </c>
      <c r="B22" s="229" t="s">
        <v>307</v>
      </c>
      <c r="C22" s="107">
        <v>190</v>
      </c>
    </row>
    <row r="23" spans="1:8">
      <c r="A23" s="30" t="str">
        <f t="shared" si="0"/>
        <v>Тушки индейки</v>
      </c>
      <c r="B23" s="229" t="s">
        <v>307</v>
      </c>
      <c r="C23" s="107">
        <v>250</v>
      </c>
    </row>
    <row r="24" spans="1:8">
      <c r="A24" s="30" t="str">
        <f t="shared" si="0"/>
        <v>Котлеты замороженные</v>
      </c>
      <c r="B24" s="229" t="s">
        <v>307</v>
      </c>
      <c r="C24" s="107">
        <v>300</v>
      </c>
    </row>
    <row r="25" spans="1:8">
      <c r="A25" s="30" t="str">
        <f t="shared" si="0"/>
        <v>Шашлык маринованный</v>
      </c>
      <c r="B25" s="229" t="s">
        <v>307</v>
      </c>
      <c r="C25" s="107">
        <v>280</v>
      </c>
    </row>
    <row r="26" spans="1:8">
      <c r="A26" s="30" t="str">
        <f t="shared" si="0"/>
        <v>Фрикадельки</v>
      </c>
      <c r="B26" s="229" t="s">
        <v>307</v>
      </c>
      <c r="C26" s="107">
        <v>280</v>
      </c>
    </row>
    <row r="27" spans="1:8">
      <c r="A27" s="30" t="str">
        <f t="shared" si="0"/>
        <v>Пельмени</v>
      </c>
      <c r="B27" s="229" t="s">
        <v>307</v>
      </c>
      <c r="C27" s="107">
        <v>290</v>
      </c>
    </row>
    <row r="28" spans="1:8">
      <c r="A28" s="30" t="str">
        <f t="shared" si="0"/>
        <v>-</v>
      </c>
      <c r="B28" s="229" t="s">
        <v>307</v>
      </c>
      <c r="C28" s="107">
        <v>0</v>
      </c>
    </row>
    <row r="29" spans="1:8">
      <c r="A29" s="30" t="str">
        <f t="shared" si="0"/>
        <v>-</v>
      </c>
      <c r="B29" s="229" t="s">
        <v>307</v>
      </c>
      <c r="C29" s="107">
        <v>0</v>
      </c>
    </row>
    <row r="30" spans="1:8">
      <c r="A30" s="30"/>
      <c r="B30" s="229"/>
      <c r="C30" s="107"/>
    </row>
    <row r="31" spans="1:8">
      <c r="A31" s="162" t="s">
        <v>186</v>
      </c>
      <c r="B31" s="28"/>
      <c r="C31" s="108"/>
      <c r="D31" s="1"/>
      <c r="E31" s="60"/>
    </row>
    <row r="32" spans="1:8">
      <c r="A32" s="30" t="str">
        <f>A20</f>
        <v>Свиные полутуши</v>
      </c>
      <c r="B32" s="229" t="s">
        <v>271</v>
      </c>
      <c r="C32" s="107">
        <v>160</v>
      </c>
      <c r="D32" s="216"/>
      <c r="E32" s="60"/>
    </row>
    <row r="33" spans="1:5">
      <c r="A33" s="30" t="str">
        <f t="shared" ref="A33:A41" si="1">A21</f>
        <v>Говядина четверти</v>
      </c>
      <c r="B33" s="229" t="s">
        <v>271</v>
      </c>
      <c r="C33" s="107">
        <v>160</v>
      </c>
      <c r="D33" s="216"/>
      <c r="E33" s="60"/>
    </row>
    <row r="34" spans="1:5">
      <c r="A34" s="30" t="str">
        <f t="shared" si="1"/>
        <v>Тушки куриные</v>
      </c>
      <c r="B34" s="229" t="s">
        <v>271</v>
      </c>
      <c r="C34" s="107">
        <v>110</v>
      </c>
      <c r="D34" s="216"/>
      <c r="E34" s="60"/>
    </row>
    <row r="35" spans="1:5">
      <c r="A35" s="30" t="str">
        <f t="shared" si="1"/>
        <v>Тушки индейки</v>
      </c>
      <c r="B35" s="229" t="s">
        <v>271</v>
      </c>
      <c r="C35" s="107">
        <v>120</v>
      </c>
      <c r="D35" s="216"/>
      <c r="E35" s="60"/>
    </row>
    <row r="36" spans="1:5">
      <c r="A36" s="30" t="str">
        <f t="shared" si="1"/>
        <v>Котлеты замороженные</v>
      </c>
      <c r="B36" s="229" t="s">
        <v>271</v>
      </c>
      <c r="C36" s="107">
        <v>190</v>
      </c>
      <c r="D36" s="216"/>
      <c r="E36" s="60"/>
    </row>
    <row r="37" spans="1:5">
      <c r="A37" s="30" t="str">
        <f t="shared" si="1"/>
        <v>Шашлык маринованный</v>
      </c>
      <c r="B37" s="229" t="s">
        <v>271</v>
      </c>
      <c r="C37" s="107">
        <v>190</v>
      </c>
      <c r="D37" s="216"/>
      <c r="E37" s="60"/>
    </row>
    <row r="38" spans="1:5">
      <c r="A38" s="30" t="str">
        <f t="shared" si="1"/>
        <v>Фрикадельки</v>
      </c>
      <c r="B38" s="229" t="s">
        <v>271</v>
      </c>
      <c r="C38" s="107">
        <v>170</v>
      </c>
      <c r="D38" s="216"/>
      <c r="E38" s="60"/>
    </row>
    <row r="39" spans="1:5">
      <c r="A39" s="30" t="str">
        <f t="shared" si="1"/>
        <v>Пельмени</v>
      </c>
      <c r="B39" s="229" t="s">
        <v>271</v>
      </c>
      <c r="C39" s="107">
        <v>170</v>
      </c>
      <c r="D39" s="216"/>
      <c r="E39" s="60"/>
    </row>
    <row r="40" spans="1:5">
      <c r="A40" s="30" t="str">
        <f t="shared" si="1"/>
        <v>-</v>
      </c>
      <c r="B40" s="229" t="s">
        <v>271</v>
      </c>
      <c r="C40" s="107">
        <v>0</v>
      </c>
      <c r="D40" s="216"/>
      <c r="E40" s="60"/>
    </row>
    <row r="41" spans="1:5">
      <c r="A41" s="30" t="str">
        <f t="shared" si="1"/>
        <v>-</v>
      </c>
      <c r="B41" s="229" t="s">
        <v>271</v>
      </c>
      <c r="C41" s="107">
        <v>0</v>
      </c>
      <c r="D41" s="216"/>
      <c r="E41" s="60"/>
    </row>
    <row r="42" spans="1:5">
      <c r="A42" s="30"/>
      <c r="B42" s="28"/>
      <c r="C42" s="108"/>
      <c r="D42" s="1"/>
      <c r="E42" s="60"/>
    </row>
    <row r="43" spans="1:5">
      <c r="A43" s="162" t="s">
        <v>230</v>
      </c>
      <c r="B43" s="28"/>
      <c r="C43" s="108"/>
      <c r="D43" s="1"/>
      <c r="E43" s="60"/>
    </row>
    <row r="44" spans="1:5">
      <c r="A44" s="270" t="s">
        <v>218</v>
      </c>
      <c r="B44" s="270"/>
      <c r="C44" s="270"/>
      <c r="D44" s="1"/>
      <c r="E44" s="60"/>
    </row>
    <row r="45" spans="1:5">
      <c r="A45" s="30" t="s">
        <v>308</v>
      </c>
      <c r="B45" s="230" t="s">
        <v>245</v>
      </c>
      <c r="C45" s="33">
        <v>1108800</v>
      </c>
      <c r="D45" s="216"/>
      <c r="E45" s="60"/>
    </row>
    <row r="46" spans="1:5">
      <c r="A46" s="30" t="s">
        <v>295</v>
      </c>
      <c r="B46" s="230" t="s">
        <v>245</v>
      </c>
      <c r="C46" s="33">
        <v>60000</v>
      </c>
      <c r="D46" s="216"/>
      <c r="E46" s="60"/>
    </row>
    <row r="47" spans="1:5">
      <c r="A47" s="30" t="s">
        <v>309</v>
      </c>
      <c r="B47" s="230" t="s">
        <v>245</v>
      </c>
      <c r="C47" s="33">
        <v>50000</v>
      </c>
      <c r="D47" s="216"/>
    </row>
    <row r="48" spans="1:5">
      <c r="A48" s="30" t="s">
        <v>150</v>
      </c>
      <c r="B48" s="230" t="s">
        <v>245</v>
      </c>
      <c r="C48" s="33"/>
      <c r="D48" s="1"/>
    </row>
    <row r="49" spans="1:5">
      <c r="A49" s="30" t="s">
        <v>150</v>
      </c>
      <c r="B49" s="230" t="s">
        <v>245</v>
      </c>
      <c r="C49" s="33"/>
      <c r="D49" s="1"/>
    </row>
    <row r="50" spans="1:5">
      <c r="A50" s="30" t="s">
        <v>150</v>
      </c>
      <c r="B50" s="230" t="s">
        <v>245</v>
      </c>
      <c r="C50" s="33"/>
      <c r="D50" s="1"/>
    </row>
    <row r="51" spans="1:5">
      <c r="A51" s="30" t="s">
        <v>150</v>
      </c>
      <c r="B51" s="230" t="s">
        <v>245</v>
      </c>
      <c r="C51" s="33"/>
      <c r="D51" s="1"/>
    </row>
    <row r="52" spans="1:5">
      <c r="A52" s="270" t="s">
        <v>219</v>
      </c>
      <c r="B52" s="270"/>
      <c r="C52" s="270"/>
      <c r="D52" s="1"/>
    </row>
    <row r="53" spans="1:5" ht="14.25">
      <c r="A53" s="30" t="s">
        <v>235</v>
      </c>
      <c r="B53" s="230" t="s">
        <v>245</v>
      </c>
      <c r="C53" s="33">
        <v>150000</v>
      </c>
      <c r="D53" s="216"/>
      <c r="E53" s="236"/>
    </row>
    <row r="54" spans="1:5">
      <c r="A54" s="30" t="s">
        <v>236</v>
      </c>
      <c r="B54" s="230" t="s">
        <v>245</v>
      </c>
      <c r="C54" s="33">
        <v>50000</v>
      </c>
      <c r="D54" s="216"/>
    </row>
    <row r="55" spans="1:5">
      <c r="A55" s="270" t="s">
        <v>220</v>
      </c>
      <c r="B55" s="270"/>
      <c r="C55" s="270"/>
      <c r="D55" s="1"/>
    </row>
    <row r="56" spans="1:5">
      <c r="A56" s="30" t="s">
        <v>40</v>
      </c>
      <c r="B56" s="230" t="s">
        <v>245</v>
      </c>
      <c r="C56" s="33">
        <v>10000</v>
      </c>
      <c r="D56" s="216"/>
    </row>
    <row r="57" spans="1:5">
      <c r="A57" s="30" t="s">
        <v>272</v>
      </c>
      <c r="B57" s="230" t="s">
        <v>245</v>
      </c>
      <c r="C57" s="33">
        <v>10000</v>
      </c>
      <c r="D57" s="1"/>
    </row>
    <row r="58" spans="1:5">
      <c r="A58" s="30" t="s">
        <v>273</v>
      </c>
      <c r="B58" s="230" t="s">
        <v>245</v>
      </c>
      <c r="C58" s="33">
        <v>12000</v>
      </c>
      <c r="D58" s="1"/>
    </row>
    <row r="59" spans="1:5">
      <c r="A59" s="30" t="s">
        <v>274</v>
      </c>
      <c r="B59" s="230" t="s">
        <v>245</v>
      </c>
      <c r="C59" s="33">
        <v>5000</v>
      </c>
      <c r="D59" s="1"/>
    </row>
    <row r="60" spans="1:5">
      <c r="A60" s="30" t="s">
        <v>275</v>
      </c>
      <c r="B60" s="230" t="s">
        <v>245</v>
      </c>
      <c r="C60" s="33">
        <v>1500</v>
      </c>
      <c r="D60" s="1"/>
    </row>
    <row r="61" spans="1:5">
      <c r="A61" s="30" t="s">
        <v>150</v>
      </c>
      <c r="B61" s="230" t="s">
        <v>245</v>
      </c>
      <c r="C61" s="33">
        <v>0</v>
      </c>
      <c r="D61" s="1"/>
    </row>
    <row r="62" spans="1:5">
      <c r="A62" s="30" t="s">
        <v>150</v>
      </c>
      <c r="B62" s="230" t="s">
        <v>245</v>
      </c>
      <c r="C62" s="33">
        <v>0</v>
      </c>
      <c r="D62" s="1"/>
    </row>
    <row r="63" spans="1:5">
      <c r="A63" s="30" t="s">
        <v>150</v>
      </c>
      <c r="B63" s="230" t="s">
        <v>245</v>
      </c>
      <c r="C63" s="33">
        <v>0</v>
      </c>
      <c r="D63" s="1"/>
    </row>
    <row r="64" spans="1:5">
      <c r="A64" s="30" t="s">
        <v>150</v>
      </c>
      <c r="B64" s="230" t="s">
        <v>245</v>
      </c>
      <c r="C64" s="33">
        <v>0</v>
      </c>
      <c r="D64" s="1"/>
    </row>
    <row r="65" spans="1:4">
      <c r="A65" s="30"/>
      <c r="B65" s="28"/>
      <c r="C65" s="108"/>
      <c r="D65" s="1"/>
    </row>
    <row r="66" spans="1:4">
      <c r="A66" s="162" t="s">
        <v>123</v>
      </c>
      <c r="B66" s="28"/>
      <c r="C66" s="33"/>
      <c r="D66" s="1"/>
    </row>
    <row r="67" spans="1:4">
      <c r="A67" s="30" t="s">
        <v>122</v>
      </c>
      <c r="B67" s="28" t="s">
        <v>3</v>
      </c>
      <c r="C67" s="109">
        <v>0.03</v>
      </c>
      <c r="D67" s="1"/>
    </row>
    <row r="68" spans="1:4">
      <c r="A68" s="30" t="s">
        <v>93</v>
      </c>
      <c r="B68" s="53" t="s">
        <v>3</v>
      </c>
      <c r="C68" s="109">
        <v>0.2</v>
      </c>
    </row>
    <row r="69" spans="1:4">
      <c r="A69" s="30" t="s">
        <v>184</v>
      </c>
      <c r="B69" s="53" t="s">
        <v>3</v>
      </c>
      <c r="C69" s="109">
        <v>0.25</v>
      </c>
      <c r="D69" s="1"/>
    </row>
    <row r="70" spans="1:4">
      <c r="A70" s="30" t="s">
        <v>185</v>
      </c>
      <c r="B70" s="75" t="s">
        <v>3</v>
      </c>
      <c r="C70" s="175">
        <v>0.43</v>
      </c>
      <c r="D70" s="1"/>
    </row>
    <row r="71" spans="1:4">
      <c r="A71" s="30" t="s">
        <v>151</v>
      </c>
      <c r="B71" s="53" t="s">
        <v>3</v>
      </c>
      <c r="C71" s="110">
        <f>WACC!$D$21*'Анализ чувствительности'!$B$16/100</f>
        <v>0.23440044249449188</v>
      </c>
      <c r="D71" s="1"/>
    </row>
  </sheetData>
  <mergeCells count="8">
    <mergeCell ref="A1:F1"/>
    <mergeCell ref="F2:F3"/>
    <mergeCell ref="A44:C44"/>
    <mergeCell ref="A52:C52"/>
    <mergeCell ref="A55:C55"/>
    <mergeCell ref="A2:B3"/>
    <mergeCell ref="C2:D2"/>
    <mergeCell ref="E2:E3"/>
  </mergeCells>
  <pageMargins left="0.7" right="0.7" top="0.75" bottom="0.75" header="0.3" footer="0.3"/>
  <pageSetup paperSize="9" orientation="portrait" horizont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E3565-F54F-4465-926A-1789B16E6697}">
  <dimension ref="A1:M6"/>
  <sheetViews>
    <sheetView zoomScale="115" zoomScaleNormal="115" workbookViewId="0">
      <selection activeCell="B3" sqref="B3:M3"/>
    </sheetView>
  </sheetViews>
  <sheetFormatPr defaultColWidth="8.640625" defaultRowHeight="13.9"/>
  <cols>
    <col min="1" max="1" width="40.42578125" style="103" customWidth="1"/>
    <col min="2" max="16384" width="8.640625" style="103"/>
  </cols>
  <sheetData>
    <row r="1" spans="1:13">
      <c r="A1" s="102" t="s">
        <v>276</v>
      </c>
      <c r="B1" s="237">
        <v>1</v>
      </c>
      <c r="C1" s="237">
        <v>2</v>
      </c>
      <c r="D1" s="237">
        <v>3</v>
      </c>
      <c r="E1" s="237">
        <v>4</v>
      </c>
      <c r="F1" s="237">
        <v>5</v>
      </c>
      <c r="G1" s="237">
        <v>6</v>
      </c>
      <c r="H1" s="237">
        <v>7</v>
      </c>
      <c r="I1" s="237">
        <v>8</v>
      </c>
      <c r="J1" s="237">
        <v>9</v>
      </c>
      <c r="K1" s="237">
        <v>10</v>
      </c>
      <c r="L1" s="237">
        <v>11</v>
      </c>
      <c r="M1" s="237">
        <v>12</v>
      </c>
    </row>
    <row r="2" spans="1:13" ht="14.75" customHeight="1">
      <c r="A2" s="238" t="s">
        <v>277</v>
      </c>
      <c r="B2" s="104" t="s">
        <v>278</v>
      </c>
      <c r="C2" s="104" t="s">
        <v>279</v>
      </c>
      <c r="D2" s="104" t="s">
        <v>280</v>
      </c>
      <c r="E2" s="104" t="s">
        <v>281</v>
      </c>
      <c r="F2" s="104" t="s">
        <v>282</v>
      </c>
      <c r="G2" s="104" t="s">
        <v>283</v>
      </c>
      <c r="H2" s="104" t="s">
        <v>284</v>
      </c>
      <c r="I2" s="104" t="s">
        <v>285</v>
      </c>
      <c r="J2" s="104" t="s">
        <v>286</v>
      </c>
      <c r="K2" s="104" t="s">
        <v>287</v>
      </c>
      <c r="L2" s="104" t="s">
        <v>288</v>
      </c>
      <c r="M2" s="104" t="s">
        <v>289</v>
      </c>
    </row>
    <row r="3" spans="1:13" ht="14.75" customHeight="1">
      <c r="A3" s="105" t="s">
        <v>290</v>
      </c>
      <c r="B3" s="239">
        <v>1</v>
      </c>
      <c r="C3" s="239">
        <v>1</v>
      </c>
      <c r="D3" s="239">
        <v>1</v>
      </c>
      <c r="E3" s="239">
        <v>1</v>
      </c>
      <c r="F3" s="239">
        <v>1</v>
      </c>
      <c r="G3" s="239">
        <v>1</v>
      </c>
      <c r="H3" s="239">
        <v>1</v>
      </c>
      <c r="I3" s="239">
        <v>1</v>
      </c>
      <c r="J3" s="239">
        <v>1</v>
      </c>
      <c r="K3" s="239">
        <v>1</v>
      </c>
      <c r="L3" s="239">
        <v>1</v>
      </c>
      <c r="M3" s="239">
        <v>1</v>
      </c>
    </row>
    <row r="4" spans="1:13">
      <c r="A4" s="102"/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</row>
    <row r="5" spans="1:13">
      <c r="A5" s="240" t="s">
        <v>291</v>
      </c>
      <c r="B5" s="104" t="s">
        <v>278</v>
      </c>
      <c r="C5" s="104" t="s">
        <v>279</v>
      </c>
      <c r="D5" s="104" t="s">
        <v>280</v>
      </c>
      <c r="E5" s="104" t="s">
        <v>281</v>
      </c>
      <c r="F5" s="104" t="s">
        <v>282</v>
      </c>
      <c r="G5" s="104" t="s">
        <v>283</v>
      </c>
      <c r="H5" s="104" t="s">
        <v>284</v>
      </c>
      <c r="I5" s="104" t="s">
        <v>285</v>
      </c>
      <c r="J5" s="104" t="s">
        <v>286</v>
      </c>
      <c r="K5" s="104" t="s">
        <v>287</v>
      </c>
      <c r="L5" s="104" t="s">
        <v>288</v>
      </c>
      <c r="M5" s="104" t="s">
        <v>289</v>
      </c>
    </row>
    <row r="6" spans="1:13">
      <c r="A6" s="105" t="s">
        <v>292</v>
      </c>
      <c r="B6" s="239">
        <v>1</v>
      </c>
      <c r="C6" s="239">
        <v>1</v>
      </c>
      <c r="D6" s="239">
        <v>1</v>
      </c>
      <c r="E6" s="239">
        <v>1</v>
      </c>
      <c r="F6" s="239">
        <v>1</v>
      </c>
      <c r="G6" s="239">
        <v>1</v>
      </c>
      <c r="H6" s="239">
        <v>1</v>
      </c>
      <c r="I6" s="239">
        <v>1</v>
      </c>
      <c r="J6" s="239">
        <v>1</v>
      </c>
      <c r="K6" s="239">
        <v>1</v>
      </c>
      <c r="L6" s="239">
        <v>1</v>
      </c>
      <c r="M6" s="239">
        <v>1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T59"/>
  <sheetViews>
    <sheetView workbookViewId="0">
      <pane xSplit="2" ySplit="6" topLeftCell="C31" activePane="bottomRight" state="frozen"/>
      <selection pane="topRight" activeCell="C1" sqref="C1"/>
      <selection pane="bottomLeft" activeCell="A8" sqref="A8"/>
      <selection pane="bottomRight" activeCell="E47" sqref="E47:J51"/>
    </sheetView>
  </sheetViews>
  <sheetFormatPr defaultColWidth="8.5703125" defaultRowHeight="13.9"/>
  <cols>
    <col min="1" max="1" width="36.5703125" style="103" customWidth="1"/>
    <col min="2" max="2" width="12" style="103" customWidth="1"/>
    <col min="3" max="3" width="11.42578125" style="103" bestFit="1" customWidth="1"/>
    <col min="4" max="4" width="8.5703125" style="103"/>
    <col min="5" max="5" width="10.35546875" style="103" bestFit="1" customWidth="1"/>
    <col min="6" max="7" width="10" style="103" bestFit="1" customWidth="1"/>
    <col min="8" max="8" width="9.85546875" style="103" bestFit="1" customWidth="1"/>
    <col min="9" max="9" width="10" style="103" bestFit="1" customWidth="1"/>
    <col min="10" max="10" width="9.5703125" style="103" customWidth="1"/>
    <col min="11" max="11" width="8.5703125" style="103"/>
    <col min="12" max="71" width="9.5703125" style="103" customWidth="1"/>
    <col min="72" max="16384" width="8.5703125" style="103"/>
  </cols>
  <sheetData>
    <row r="1" spans="1:72">
      <c r="A1" s="124" t="s">
        <v>6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04">
        <f>IF(OR(MONTH(L3)=1,MONTH(L3)=2,MONTH(L3)=3),1,IF(OR(MONTH(L3)=4,MONTH(L3)=5,MONTH(L3)=6),2,IF(OR(MONTH(L3)=7,MONTH(L3)=8,MONTH(L3)=9),3,4)))</f>
        <v>3</v>
      </c>
      <c r="M1" s="104">
        <f>IF(OR(MONTH(M3)=1,MONTH(M3)=2,MONTH(M3)=3),1,IF(OR(MONTH(M3)=4,MONTH(M3)=5,MONTH(M3)=6),2,IF(OR(MONTH(M3)=7,MONTH(M3)=8,MONTH(M3)=9),3,4)))</f>
        <v>4</v>
      </c>
      <c r="N1" s="104">
        <f>IF(OR(MONTH(N3)=1,MONTH(N3)=2,MONTH(N3)=3),1,IF(OR(MONTH(N3)=4,MONTH(N3)=5,MONTH(N3)=6),2,IF(OR(MONTH(N3)=7,MONTH(N3)=8,MONTH(N3)=9),3,4)))</f>
        <v>4</v>
      </c>
      <c r="O1" s="104">
        <f t="shared" ref="O1:BR1" si="0">IF(OR(MONTH(O3)=1,MONTH(O3)=2,MONTH(O3)=3),1,IF(OR(MONTH(O3)=4,MONTH(O3)=5,MONTH(O3)=6),2,IF(OR(MONTH(O3)=7,MONTH(O3)=8,MONTH(O3)=9),3,4)))</f>
        <v>4</v>
      </c>
      <c r="P1" s="104">
        <f t="shared" si="0"/>
        <v>1</v>
      </c>
      <c r="Q1" s="104">
        <f t="shared" si="0"/>
        <v>1</v>
      </c>
      <c r="R1" s="104">
        <f t="shared" si="0"/>
        <v>1</v>
      </c>
      <c r="S1" s="104">
        <f t="shared" si="0"/>
        <v>2</v>
      </c>
      <c r="T1" s="104">
        <f t="shared" si="0"/>
        <v>2</v>
      </c>
      <c r="U1" s="104">
        <f t="shared" si="0"/>
        <v>2</v>
      </c>
      <c r="V1" s="104">
        <f t="shared" si="0"/>
        <v>3</v>
      </c>
      <c r="W1" s="104">
        <f t="shared" si="0"/>
        <v>3</v>
      </c>
      <c r="X1" s="104">
        <f t="shared" si="0"/>
        <v>3</v>
      </c>
      <c r="Y1" s="104">
        <f t="shared" si="0"/>
        <v>4</v>
      </c>
      <c r="Z1" s="104">
        <f t="shared" si="0"/>
        <v>4</v>
      </c>
      <c r="AA1" s="104">
        <f t="shared" si="0"/>
        <v>4</v>
      </c>
      <c r="AB1" s="104">
        <f t="shared" si="0"/>
        <v>1</v>
      </c>
      <c r="AC1" s="104">
        <f t="shared" si="0"/>
        <v>1</v>
      </c>
      <c r="AD1" s="104">
        <f t="shared" si="0"/>
        <v>1</v>
      </c>
      <c r="AE1" s="104">
        <f t="shared" si="0"/>
        <v>2</v>
      </c>
      <c r="AF1" s="104">
        <f t="shared" si="0"/>
        <v>2</v>
      </c>
      <c r="AG1" s="104">
        <f t="shared" si="0"/>
        <v>2</v>
      </c>
      <c r="AH1" s="104">
        <f t="shared" si="0"/>
        <v>3</v>
      </c>
      <c r="AI1" s="104">
        <f t="shared" si="0"/>
        <v>3</v>
      </c>
      <c r="AJ1" s="104">
        <f t="shared" si="0"/>
        <v>3</v>
      </c>
      <c r="AK1" s="104">
        <f t="shared" si="0"/>
        <v>4</v>
      </c>
      <c r="AL1" s="104">
        <f t="shared" si="0"/>
        <v>4</v>
      </c>
      <c r="AM1" s="104">
        <f t="shared" si="0"/>
        <v>4</v>
      </c>
      <c r="AN1" s="104">
        <f t="shared" si="0"/>
        <v>1</v>
      </c>
      <c r="AO1" s="104">
        <f t="shared" si="0"/>
        <v>1</v>
      </c>
      <c r="AP1" s="104">
        <f t="shared" si="0"/>
        <v>1</v>
      </c>
      <c r="AQ1" s="104">
        <f t="shared" si="0"/>
        <v>2</v>
      </c>
      <c r="AR1" s="104">
        <f t="shared" si="0"/>
        <v>2</v>
      </c>
      <c r="AS1" s="104">
        <f t="shared" si="0"/>
        <v>2</v>
      </c>
      <c r="AT1" s="104">
        <f t="shared" si="0"/>
        <v>3</v>
      </c>
      <c r="AU1" s="104">
        <f t="shared" si="0"/>
        <v>3</v>
      </c>
      <c r="AV1" s="104">
        <f t="shared" si="0"/>
        <v>3</v>
      </c>
      <c r="AW1" s="104">
        <f t="shared" si="0"/>
        <v>4</v>
      </c>
      <c r="AX1" s="104">
        <f t="shared" si="0"/>
        <v>4</v>
      </c>
      <c r="AY1" s="104">
        <f t="shared" si="0"/>
        <v>4</v>
      </c>
      <c r="AZ1" s="104">
        <f t="shared" si="0"/>
        <v>1</v>
      </c>
      <c r="BA1" s="104">
        <f t="shared" si="0"/>
        <v>1</v>
      </c>
      <c r="BB1" s="104">
        <f t="shared" si="0"/>
        <v>1</v>
      </c>
      <c r="BC1" s="104">
        <f t="shared" si="0"/>
        <v>2</v>
      </c>
      <c r="BD1" s="104">
        <f t="shared" si="0"/>
        <v>2</v>
      </c>
      <c r="BE1" s="104">
        <f t="shared" si="0"/>
        <v>2</v>
      </c>
      <c r="BF1" s="104">
        <f t="shared" si="0"/>
        <v>3</v>
      </c>
      <c r="BG1" s="104">
        <f t="shared" si="0"/>
        <v>3</v>
      </c>
      <c r="BH1" s="104">
        <f t="shared" si="0"/>
        <v>3</v>
      </c>
      <c r="BI1" s="104">
        <f t="shared" si="0"/>
        <v>4</v>
      </c>
      <c r="BJ1" s="104">
        <f t="shared" si="0"/>
        <v>4</v>
      </c>
      <c r="BK1" s="104">
        <f t="shared" si="0"/>
        <v>4</v>
      </c>
      <c r="BL1" s="104">
        <f t="shared" si="0"/>
        <v>1</v>
      </c>
      <c r="BM1" s="104">
        <f t="shared" si="0"/>
        <v>1</v>
      </c>
      <c r="BN1" s="104">
        <f t="shared" si="0"/>
        <v>1</v>
      </c>
      <c r="BO1" s="104">
        <f t="shared" si="0"/>
        <v>2</v>
      </c>
      <c r="BP1" s="104">
        <f t="shared" si="0"/>
        <v>2</v>
      </c>
      <c r="BQ1" s="104">
        <f t="shared" si="0"/>
        <v>2</v>
      </c>
      <c r="BR1" s="104">
        <f t="shared" si="0"/>
        <v>3</v>
      </c>
      <c r="BS1" s="104">
        <f t="shared" ref="BS1" si="1">IF(OR(MONTH(BS3)=1,MONTH(BS3)=2,MONTH(BS3)=3),1,IF(OR(MONTH(BS3)=4,MONTH(BS3)=5,MONTH(BS3)=6),2,IF(OR(MONTH(BS3)=7,MONTH(BS3)=8,MONTH(BS3)=9),3,4)))</f>
        <v>3</v>
      </c>
    </row>
    <row r="2" spans="1:72">
      <c r="A2" s="124" t="s">
        <v>7</v>
      </c>
      <c r="B2" s="124"/>
      <c r="C2" s="124"/>
      <c r="D2" s="124"/>
      <c r="E2" s="104">
        <f>L2</f>
        <v>2025</v>
      </c>
      <c r="F2" s="104">
        <f>E2+1</f>
        <v>2026</v>
      </c>
      <c r="G2" s="104">
        <f>F2+1</f>
        <v>2027</v>
      </c>
      <c r="H2" s="104">
        <f>G2+1</f>
        <v>2028</v>
      </c>
      <c r="I2" s="104">
        <f t="shared" ref="I2" si="2">H2+1</f>
        <v>2029</v>
      </c>
      <c r="J2" s="104">
        <f>I2+1</f>
        <v>2030</v>
      </c>
      <c r="K2" s="124"/>
      <c r="L2" s="104">
        <f>YEAR(L3)</f>
        <v>2025</v>
      </c>
      <c r="M2" s="104">
        <f>YEAR(M3)</f>
        <v>2025</v>
      </c>
      <c r="N2" s="104">
        <f t="shared" ref="N2:BS2" si="3">YEAR(N3)</f>
        <v>2025</v>
      </c>
      <c r="O2" s="104">
        <f t="shared" si="3"/>
        <v>2025</v>
      </c>
      <c r="P2" s="104">
        <f t="shared" si="3"/>
        <v>2026</v>
      </c>
      <c r="Q2" s="104">
        <f t="shared" si="3"/>
        <v>2026</v>
      </c>
      <c r="R2" s="104">
        <f t="shared" si="3"/>
        <v>2026</v>
      </c>
      <c r="S2" s="104">
        <f t="shared" si="3"/>
        <v>2026</v>
      </c>
      <c r="T2" s="104">
        <f t="shared" si="3"/>
        <v>2026</v>
      </c>
      <c r="U2" s="104">
        <f t="shared" si="3"/>
        <v>2026</v>
      </c>
      <c r="V2" s="104">
        <f t="shared" si="3"/>
        <v>2026</v>
      </c>
      <c r="W2" s="104">
        <f t="shared" si="3"/>
        <v>2026</v>
      </c>
      <c r="X2" s="104">
        <f t="shared" si="3"/>
        <v>2026</v>
      </c>
      <c r="Y2" s="104">
        <f t="shared" si="3"/>
        <v>2026</v>
      </c>
      <c r="Z2" s="104">
        <f t="shared" si="3"/>
        <v>2026</v>
      </c>
      <c r="AA2" s="104">
        <f t="shared" si="3"/>
        <v>2026</v>
      </c>
      <c r="AB2" s="104">
        <f t="shared" si="3"/>
        <v>2027</v>
      </c>
      <c r="AC2" s="104">
        <f t="shared" si="3"/>
        <v>2027</v>
      </c>
      <c r="AD2" s="104">
        <f t="shared" si="3"/>
        <v>2027</v>
      </c>
      <c r="AE2" s="104">
        <f t="shared" si="3"/>
        <v>2027</v>
      </c>
      <c r="AF2" s="104">
        <f t="shared" si="3"/>
        <v>2027</v>
      </c>
      <c r="AG2" s="104">
        <f t="shared" si="3"/>
        <v>2027</v>
      </c>
      <c r="AH2" s="104">
        <f t="shared" si="3"/>
        <v>2027</v>
      </c>
      <c r="AI2" s="104">
        <f t="shared" si="3"/>
        <v>2027</v>
      </c>
      <c r="AJ2" s="104">
        <f t="shared" si="3"/>
        <v>2027</v>
      </c>
      <c r="AK2" s="104">
        <f t="shared" si="3"/>
        <v>2027</v>
      </c>
      <c r="AL2" s="104">
        <f t="shared" si="3"/>
        <v>2027</v>
      </c>
      <c r="AM2" s="104">
        <f t="shared" si="3"/>
        <v>2027</v>
      </c>
      <c r="AN2" s="104">
        <f t="shared" si="3"/>
        <v>2028</v>
      </c>
      <c r="AO2" s="104">
        <f t="shared" si="3"/>
        <v>2028</v>
      </c>
      <c r="AP2" s="104">
        <f t="shared" si="3"/>
        <v>2028</v>
      </c>
      <c r="AQ2" s="104">
        <f t="shared" si="3"/>
        <v>2028</v>
      </c>
      <c r="AR2" s="104">
        <f t="shared" si="3"/>
        <v>2028</v>
      </c>
      <c r="AS2" s="104">
        <f t="shared" si="3"/>
        <v>2028</v>
      </c>
      <c r="AT2" s="104">
        <f t="shared" si="3"/>
        <v>2028</v>
      </c>
      <c r="AU2" s="104">
        <f t="shared" si="3"/>
        <v>2028</v>
      </c>
      <c r="AV2" s="104">
        <f t="shared" si="3"/>
        <v>2028</v>
      </c>
      <c r="AW2" s="104">
        <f t="shared" si="3"/>
        <v>2028</v>
      </c>
      <c r="AX2" s="104">
        <f t="shared" si="3"/>
        <v>2028</v>
      </c>
      <c r="AY2" s="104">
        <f t="shared" si="3"/>
        <v>2028</v>
      </c>
      <c r="AZ2" s="104">
        <f t="shared" si="3"/>
        <v>2029</v>
      </c>
      <c r="BA2" s="104">
        <f t="shared" si="3"/>
        <v>2029</v>
      </c>
      <c r="BB2" s="104">
        <f t="shared" si="3"/>
        <v>2029</v>
      </c>
      <c r="BC2" s="104">
        <f t="shared" si="3"/>
        <v>2029</v>
      </c>
      <c r="BD2" s="104">
        <f t="shared" si="3"/>
        <v>2029</v>
      </c>
      <c r="BE2" s="104">
        <f t="shared" si="3"/>
        <v>2029</v>
      </c>
      <c r="BF2" s="104">
        <f t="shared" si="3"/>
        <v>2029</v>
      </c>
      <c r="BG2" s="104">
        <f t="shared" si="3"/>
        <v>2029</v>
      </c>
      <c r="BH2" s="104">
        <f t="shared" si="3"/>
        <v>2029</v>
      </c>
      <c r="BI2" s="104">
        <f t="shared" si="3"/>
        <v>2029</v>
      </c>
      <c r="BJ2" s="104">
        <f t="shared" si="3"/>
        <v>2029</v>
      </c>
      <c r="BK2" s="104">
        <f t="shared" si="3"/>
        <v>2029</v>
      </c>
      <c r="BL2" s="104">
        <f t="shared" si="3"/>
        <v>2030</v>
      </c>
      <c r="BM2" s="104">
        <f t="shared" si="3"/>
        <v>2030</v>
      </c>
      <c r="BN2" s="104">
        <f t="shared" si="3"/>
        <v>2030</v>
      </c>
      <c r="BO2" s="104">
        <f t="shared" si="3"/>
        <v>2030</v>
      </c>
      <c r="BP2" s="104">
        <f t="shared" si="3"/>
        <v>2030</v>
      </c>
      <c r="BQ2" s="104">
        <f t="shared" si="3"/>
        <v>2030</v>
      </c>
      <c r="BR2" s="104">
        <f t="shared" si="3"/>
        <v>2030</v>
      </c>
      <c r="BS2" s="104">
        <f t="shared" si="3"/>
        <v>2030</v>
      </c>
    </row>
    <row r="3" spans="1:72">
      <c r="A3" s="124" t="s">
        <v>8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5">
        <f>Допущения!C4</f>
        <v>45901</v>
      </c>
      <c r="M3" s="125">
        <f t="shared" ref="M3:BR3" si="4">DATE(YEAR(L3),MONTH(L3)+1,1)</f>
        <v>45931</v>
      </c>
      <c r="N3" s="125">
        <f t="shared" si="4"/>
        <v>45962</v>
      </c>
      <c r="O3" s="125">
        <f t="shared" si="4"/>
        <v>45992</v>
      </c>
      <c r="P3" s="125">
        <f t="shared" si="4"/>
        <v>46023</v>
      </c>
      <c r="Q3" s="125">
        <f t="shared" si="4"/>
        <v>46054</v>
      </c>
      <c r="R3" s="125">
        <f t="shared" si="4"/>
        <v>46082</v>
      </c>
      <c r="S3" s="125">
        <f t="shared" si="4"/>
        <v>46113</v>
      </c>
      <c r="T3" s="125">
        <f t="shared" si="4"/>
        <v>46143</v>
      </c>
      <c r="U3" s="125">
        <f t="shared" si="4"/>
        <v>46174</v>
      </c>
      <c r="V3" s="125">
        <f t="shared" si="4"/>
        <v>46204</v>
      </c>
      <c r="W3" s="125">
        <f t="shared" si="4"/>
        <v>46235</v>
      </c>
      <c r="X3" s="125">
        <f t="shared" si="4"/>
        <v>46266</v>
      </c>
      <c r="Y3" s="125">
        <f t="shared" si="4"/>
        <v>46296</v>
      </c>
      <c r="Z3" s="125">
        <f t="shared" si="4"/>
        <v>46327</v>
      </c>
      <c r="AA3" s="125">
        <f t="shared" si="4"/>
        <v>46357</v>
      </c>
      <c r="AB3" s="125">
        <f t="shared" si="4"/>
        <v>46388</v>
      </c>
      <c r="AC3" s="125">
        <f t="shared" si="4"/>
        <v>46419</v>
      </c>
      <c r="AD3" s="125">
        <f t="shared" si="4"/>
        <v>46447</v>
      </c>
      <c r="AE3" s="125">
        <f t="shared" si="4"/>
        <v>46478</v>
      </c>
      <c r="AF3" s="125">
        <f t="shared" si="4"/>
        <v>46508</v>
      </c>
      <c r="AG3" s="125">
        <f t="shared" si="4"/>
        <v>46539</v>
      </c>
      <c r="AH3" s="125">
        <f t="shared" si="4"/>
        <v>46569</v>
      </c>
      <c r="AI3" s="125">
        <f t="shared" si="4"/>
        <v>46600</v>
      </c>
      <c r="AJ3" s="125">
        <f t="shared" si="4"/>
        <v>46631</v>
      </c>
      <c r="AK3" s="125">
        <f t="shared" si="4"/>
        <v>46661</v>
      </c>
      <c r="AL3" s="125">
        <f t="shared" si="4"/>
        <v>46692</v>
      </c>
      <c r="AM3" s="125">
        <f t="shared" si="4"/>
        <v>46722</v>
      </c>
      <c r="AN3" s="125">
        <f t="shared" si="4"/>
        <v>46753</v>
      </c>
      <c r="AO3" s="125">
        <f t="shared" si="4"/>
        <v>46784</v>
      </c>
      <c r="AP3" s="125">
        <f t="shared" si="4"/>
        <v>46813</v>
      </c>
      <c r="AQ3" s="125">
        <f t="shared" si="4"/>
        <v>46844</v>
      </c>
      <c r="AR3" s="125">
        <f t="shared" si="4"/>
        <v>46874</v>
      </c>
      <c r="AS3" s="125">
        <f t="shared" si="4"/>
        <v>46905</v>
      </c>
      <c r="AT3" s="125">
        <f t="shared" si="4"/>
        <v>46935</v>
      </c>
      <c r="AU3" s="125">
        <f t="shared" si="4"/>
        <v>46966</v>
      </c>
      <c r="AV3" s="125">
        <f t="shared" si="4"/>
        <v>46997</v>
      </c>
      <c r="AW3" s="125">
        <f t="shared" si="4"/>
        <v>47027</v>
      </c>
      <c r="AX3" s="125">
        <f t="shared" si="4"/>
        <v>47058</v>
      </c>
      <c r="AY3" s="125">
        <f t="shared" si="4"/>
        <v>47088</v>
      </c>
      <c r="AZ3" s="125">
        <f t="shared" si="4"/>
        <v>47119</v>
      </c>
      <c r="BA3" s="125">
        <f t="shared" si="4"/>
        <v>47150</v>
      </c>
      <c r="BB3" s="125">
        <f t="shared" si="4"/>
        <v>47178</v>
      </c>
      <c r="BC3" s="125">
        <f t="shared" si="4"/>
        <v>47209</v>
      </c>
      <c r="BD3" s="125">
        <f t="shared" si="4"/>
        <v>47239</v>
      </c>
      <c r="BE3" s="125">
        <f t="shared" si="4"/>
        <v>47270</v>
      </c>
      <c r="BF3" s="125">
        <f t="shared" si="4"/>
        <v>47300</v>
      </c>
      <c r="BG3" s="125">
        <f t="shared" si="4"/>
        <v>47331</v>
      </c>
      <c r="BH3" s="125">
        <f t="shared" si="4"/>
        <v>47362</v>
      </c>
      <c r="BI3" s="125">
        <f t="shared" si="4"/>
        <v>47392</v>
      </c>
      <c r="BJ3" s="125">
        <f t="shared" si="4"/>
        <v>47423</v>
      </c>
      <c r="BK3" s="125">
        <f t="shared" si="4"/>
        <v>47453</v>
      </c>
      <c r="BL3" s="125">
        <f t="shared" si="4"/>
        <v>47484</v>
      </c>
      <c r="BM3" s="125">
        <f t="shared" si="4"/>
        <v>47515</v>
      </c>
      <c r="BN3" s="125">
        <f t="shared" si="4"/>
        <v>47543</v>
      </c>
      <c r="BO3" s="125">
        <f t="shared" si="4"/>
        <v>47574</v>
      </c>
      <c r="BP3" s="125">
        <f t="shared" si="4"/>
        <v>47604</v>
      </c>
      <c r="BQ3" s="125">
        <f t="shared" si="4"/>
        <v>47635</v>
      </c>
      <c r="BR3" s="125">
        <f t="shared" si="4"/>
        <v>47665</v>
      </c>
      <c r="BS3" s="125">
        <f t="shared" ref="BS3:BT3" si="5">DATE(YEAR(BR3),MONTH(BR3)+1,1)</f>
        <v>47696</v>
      </c>
      <c r="BT3" s="227">
        <f t="shared" si="5"/>
        <v>47727</v>
      </c>
    </row>
    <row r="4" spans="1:72">
      <c r="A4" s="124" t="s">
        <v>10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04">
        <f>M3-L3</f>
        <v>30</v>
      </c>
      <c r="M4" s="104">
        <f>N3-M3</f>
        <v>31</v>
      </c>
      <c r="N4" s="104">
        <f t="shared" ref="N4:BQ4" si="6">O3-N3</f>
        <v>30</v>
      </c>
      <c r="O4" s="104">
        <f t="shared" si="6"/>
        <v>31</v>
      </c>
      <c r="P4" s="104">
        <f t="shared" si="6"/>
        <v>31</v>
      </c>
      <c r="Q4" s="104">
        <f t="shared" si="6"/>
        <v>28</v>
      </c>
      <c r="R4" s="104">
        <f t="shared" si="6"/>
        <v>31</v>
      </c>
      <c r="S4" s="104">
        <f t="shared" si="6"/>
        <v>30</v>
      </c>
      <c r="T4" s="104">
        <f t="shared" si="6"/>
        <v>31</v>
      </c>
      <c r="U4" s="104">
        <f t="shared" si="6"/>
        <v>30</v>
      </c>
      <c r="V4" s="104">
        <f t="shared" si="6"/>
        <v>31</v>
      </c>
      <c r="W4" s="104">
        <f t="shared" si="6"/>
        <v>31</v>
      </c>
      <c r="X4" s="104">
        <f t="shared" si="6"/>
        <v>30</v>
      </c>
      <c r="Y4" s="104">
        <f t="shared" si="6"/>
        <v>31</v>
      </c>
      <c r="Z4" s="104">
        <f t="shared" si="6"/>
        <v>30</v>
      </c>
      <c r="AA4" s="104">
        <f t="shared" si="6"/>
        <v>31</v>
      </c>
      <c r="AB4" s="104">
        <f t="shared" si="6"/>
        <v>31</v>
      </c>
      <c r="AC4" s="104">
        <f t="shared" si="6"/>
        <v>28</v>
      </c>
      <c r="AD4" s="104">
        <f t="shared" si="6"/>
        <v>31</v>
      </c>
      <c r="AE4" s="104">
        <f t="shared" si="6"/>
        <v>30</v>
      </c>
      <c r="AF4" s="104">
        <f t="shared" si="6"/>
        <v>31</v>
      </c>
      <c r="AG4" s="104">
        <f t="shared" si="6"/>
        <v>30</v>
      </c>
      <c r="AH4" s="104">
        <f t="shared" si="6"/>
        <v>31</v>
      </c>
      <c r="AI4" s="104">
        <f t="shared" si="6"/>
        <v>31</v>
      </c>
      <c r="AJ4" s="104">
        <f t="shared" si="6"/>
        <v>30</v>
      </c>
      <c r="AK4" s="104">
        <f t="shared" si="6"/>
        <v>31</v>
      </c>
      <c r="AL4" s="104">
        <f t="shared" si="6"/>
        <v>30</v>
      </c>
      <c r="AM4" s="104">
        <f t="shared" si="6"/>
        <v>31</v>
      </c>
      <c r="AN4" s="104">
        <f t="shared" si="6"/>
        <v>31</v>
      </c>
      <c r="AO4" s="104">
        <f t="shared" si="6"/>
        <v>29</v>
      </c>
      <c r="AP4" s="104">
        <f t="shared" si="6"/>
        <v>31</v>
      </c>
      <c r="AQ4" s="104">
        <f t="shared" si="6"/>
        <v>30</v>
      </c>
      <c r="AR4" s="104">
        <f t="shared" si="6"/>
        <v>31</v>
      </c>
      <c r="AS4" s="104">
        <f t="shared" si="6"/>
        <v>30</v>
      </c>
      <c r="AT4" s="104">
        <f t="shared" si="6"/>
        <v>31</v>
      </c>
      <c r="AU4" s="104">
        <f t="shared" si="6"/>
        <v>31</v>
      </c>
      <c r="AV4" s="104">
        <f t="shared" si="6"/>
        <v>30</v>
      </c>
      <c r="AW4" s="104">
        <f t="shared" si="6"/>
        <v>31</v>
      </c>
      <c r="AX4" s="104">
        <f t="shared" si="6"/>
        <v>30</v>
      </c>
      <c r="AY4" s="104">
        <f t="shared" si="6"/>
        <v>31</v>
      </c>
      <c r="AZ4" s="104">
        <f t="shared" si="6"/>
        <v>31</v>
      </c>
      <c r="BA4" s="104">
        <f t="shared" si="6"/>
        <v>28</v>
      </c>
      <c r="BB4" s="104">
        <f t="shared" si="6"/>
        <v>31</v>
      </c>
      <c r="BC4" s="104">
        <f t="shared" si="6"/>
        <v>30</v>
      </c>
      <c r="BD4" s="104">
        <f t="shared" si="6"/>
        <v>31</v>
      </c>
      <c r="BE4" s="104">
        <f t="shared" si="6"/>
        <v>30</v>
      </c>
      <c r="BF4" s="104">
        <f t="shared" si="6"/>
        <v>31</v>
      </c>
      <c r="BG4" s="104">
        <f t="shared" si="6"/>
        <v>31</v>
      </c>
      <c r="BH4" s="104">
        <f t="shared" si="6"/>
        <v>30</v>
      </c>
      <c r="BI4" s="104">
        <f t="shared" si="6"/>
        <v>31</v>
      </c>
      <c r="BJ4" s="104">
        <f t="shared" si="6"/>
        <v>30</v>
      </c>
      <c r="BK4" s="104">
        <f t="shared" si="6"/>
        <v>31</v>
      </c>
      <c r="BL4" s="104">
        <f t="shared" si="6"/>
        <v>31</v>
      </c>
      <c r="BM4" s="104">
        <f t="shared" si="6"/>
        <v>28</v>
      </c>
      <c r="BN4" s="104">
        <f t="shared" si="6"/>
        <v>31</v>
      </c>
      <c r="BO4" s="104">
        <f t="shared" si="6"/>
        <v>30</v>
      </c>
      <c r="BP4" s="104">
        <f t="shared" si="6"/>
        <v>31</v>
      </c>
      <c r="BQ4" s="104">
        <f t="shared" si="6"/>
        <v>30</v>
      </c>
      <c r="BR4" s="104">
        <f t="shared" ref="BR4:BS4" si="7">BS3-BR3</f>
        <v>31</v>
      </c>
      <c r="BS4" s="104">
        <f t="shared" si="7"/>
        <v>31</v>
      </c>
    </row>
    <row r="5" spans="1:72">
      <c r="A5" s="124" t="s">
        <v>9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04">
        <v>1</v>
      </c>
      <c r="M5" s="104">
        <f>L5+1</f>
        <v>2</v>
      </c>
      <c r="N5" s="104">
        <f t="shared" ref="N5:BR5" si="8">M5+1</f>
        <v>3</v>
      </c>
      <c r="O5" s="104">
        <f t="shared" si="8"/>
        <v>4</v>
      </c>
      <c r="P5" s="104">
        <f t="shared" si="8"/>
        <v>5</v>
      </c>
      <c r="Q5" s="104">
        <f t="shared" si="8"/>
        <v>6</v>
      </c>
      <c r="R5" s="104">
        <f t="shared" si="8"/>
        <v>7</v>
      </c>
      <c r="S5" s="104">
        <f t="shared" si="8"/>
        <v>8</v>
      </c>
      <c r="T5" s="104">
        <f t="shared" si="8"/>
        <v>9</v>
      </c>
      <c r="U5" s="104">
        <f t="shared" si="8"/>
        <v>10</v>
      </c>
      <c r="V5" s="104">
        <f t="shared" si="8"/>
        <v>11</v>
      </c>
      <c r="W5" s="104">
        <f t="shared" si="8"/>
        <v>12</v>
      </c>
      <c r="X5" s="104">
        <f t="shared" si="8"/>
        <v>13</v>
      </c>
      <c r="Y5" s="104">
        <f t="shared" si="8"/>
        <v>14</v>
      </c>
      <c r="Z5" s="104">
        <f t="shared" si="8"/>
        <v>15</v>
      </c>
      <c r="AA5" s="104">
        <f t="shared" si="8"/>
        <v>16</v>
      </c>
      <c r="AB5" s="104">
        <f t="shared" si="8"/>
        <v>17</v>
      </c>
      <c r="AC5" s="104">
        <f t="shared" si="8"/>
        <v>18</v>
      </c>
      <c r="AD5" s="104">
        <f t="shared" si="8"/>
        <v>19</v>
      </c>
      <c r="AE5" s="104">
        <f t="shared" si="8"/>
        <v>20</v>
      </c>
      <c r="AF5" s="104">
        <f t="shared" si="8"/>
        <v>21</v>
      </c>
      <c r="AG5" s="104">
        <f t="shared" si="8"/>
        <v>22</v>
      </c>
      <c r="AH5" s="104">
        <f t="shared" si="8"/>
        <v>23</v>
      </c>
      <c r="AI5" s="104">
        <f t="shared" si="8"/>
        <v>24</v>
      </c>
      <c r="AJ5" s="104">
        <f t="shared" si="8"/>
        <v>25</v>
      </c>
      <c r="AK5" s="104">
        <f t="shared" si="8"/>
        <v>26</v>
      </c>
      <c r="AL5" s="104">
        <f t="shared" si="8"/>
        <v>27</v>
      </c>
      <c r="AM5" s="104">
        <f t="shared" si="8"/>
        <v>28</v>
      </c>
      <c r="AN5" s="104">
        <f t="shared" si="8"/>
        <v>29</v>
      </c>
      <c r="AO5" s="104">
        <f t="shared" si="8"/>
        <v>30</v>
      </c>
      <c r="AP5" s="104">
        <f t="shared" si="8"/>
        <v>31</v>
      </c>
      <c r="AQ5" s="104">
        <f t="shared" si="8"/>
        <v>32</v>
      </c>
      <c r="AR5" s="104">
        <f t="shared" si="8"/>
        <v>33</v>
      </c>
      <c r="AS5" s="104">
        <f>AR5+1</f>
        <v>34</v>
      </c>
      <c r="AT5" s="104">
        <f t="shared" si="8"/>
        <v>35</v>
      </c>
      <c r="AU5" s="104">
        <f t="shared" si="8"/>
        <v>36</v>
      </c>
      <c r="AV5" s="104">
        <f t="shared" si="8"/>
        <v>37</v>
      </c>
      <c r="AW5" s="104">
        <f t="shared" si="8"/>
        <v>38</v>
      </c>
      <c r="AX5" s="104">
        <f t="shared" si="8"/>
        <v>39</v>
      </c>
      <c r="AY5" s="104">
        <f t="shared" si="8"/>
        <v>40</v>
      </c>
      <c r="AZ5" s="104">
        <f t="shared" si="8"/>
        <v>41</v>
      </c>
      <c r="BA5" s="104">
        <f t="shared" si="8"/>
        <v>42</v>
      </c>
      <c r="BB5" s="104">
        <f t="shared" si="8"/>
        <v>43</v>
      </c>
      <c r="BC5" s="104">
        <f t="shared" si="8"/>
        <v>44</v>
      </c>
      <c r="BD5" s="104">
        <f t="shared" si="8"/>
        <v>45</v>
      </c>
      <c r="BE5" s="104">
        <f t="shared" si="8"/>
        <v>46</v>
      </c>
      <c r="BF5" s="104">
        <f t="shared" si="8"/>
        <v>47</v>
      </c>
      <c r="BG5" s="104">
        <f t="shared" si="8"/>
        <v>48</v>
      </c>
      <c r="BH5" s="104">
        <f t="shared" si="8"/>
        <v>49</v>
      </c>
      <c r="BI5" s="104">
        <f t="shared" si="8"/>
        <v>50</v>
      </c>
      <c r="BJ5" s="104">
        <f t="shared" si="8"/>
        <v>51</v>
      </c>
      <c r="BK5" s="104">
        <f t="shared" si="8"/>
        <v>52</v>
      </c>
      <c r="BL5" s="104">
        <f t="shared" si="8"/>
        <v>53</v>
      </c>
      <c r="BM5" s="104">
        <f t="shared" si="8"/>
        <v>54</v>
      </c>
      <c r="BN5" s="104">
        <f t="shared" si="8"/>
        <v>55</v>
      </c>
      <c r="BO5" s="104">
        <f t="shared" si="8"/>
        <v>56</v>
      </c>
      <c r="BP5" s="104">
        <f t="shared" si="8"/>
        <v>57</v>
      </c>
      <c r="BQ5" s="104">
        <f t="shared" si="8"/>
        <v>58</v>
      </c>
      <c r="BR5" s="104">
        <f t="shared" si="8"/>
        <v>59</v>
      </c>
      <c r="BS5" s="104">
        <f t="shared" ref="BS5" si="9">BR5+1</f>
        <v>60</v>
      </c>
    </row>
    <row r="7" spans="1:72">
      <c r="A7" s="127" t="s">
        <v>173</v>
      </c>
      <c r="B7" s="104" t="s">
        <v>1</v>
      </c>
      <c r="C7" s="104" t="s">
        <v>164</v>
      </c>
      <c r="E7" s="129"/>
      <c r="F7" s="129"/>
      <c r="G7" s="129"/>
      <c r="H7" s="129"/>
      <c r="I7" s="129"/>
      <c r="J7" s="129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28"/>
      <c r="AL7" s="128"/>
      <c r="AM7" s="128"/>
      <c r="AN7" s="128"/>
      <c r="AO7" s="128"/>
      <c r="AP7" s="128"/>
      <c r="AQ7" s="128"/>
      <c r="AR7" s="128"/>
      <c r="AS7" s="128"/>
      <c r="AT7" s="128"/>
      <c r="AU7" s="128"/>
    </row>
    <row r="8" spans="1:72" s="130" customFormat="1">
      <c r="A8" s="30" t="str">
        <f>Допущения!A20</f>
        <v>Свиные полутуши</v>
      </c>
      <c r="B8" s="75" t="str">
        <f>Допущения!B20</f>
        <v>руб./кг</v>
      </c>
      <c r="C8" s="177">
        <f>Допущения!$C20/(1+Допущения!$C$68)*'Анализ чувствительности'!$B$1/100</f>
        <v>168.33333333333337</v>
      </c>
      <c r="D8" s="163"/>
      <c r="E8" s="177">
        <f t="shared" ref="E8:J17" si="10">AVERAGEIF($L$2:$BS$2,E$2,$L8:$BS8)</f>
        <v>168.33333333333337</v>
      </c>
      <c r="F8" s="177">
        <f t="shared" si="10"/>
        <v>176.75000000000003</v>
      </c>
      <c r="G8" s="177">
        <f t="shared" si="10"/>
        <v>185.58750000000006</v>
      </c>
      <c r="H8" s="177">
        <f t="shared" si="10"/>
        <v>194.86687500000014</v>
      </c>
      <c r="I8" s="177">
        <f t="shared" si="10"/>
        <v>204.61021875000009</v>
      </c>
      <c r="J8" s="177">
        <f t="shared" si="10"/>
        <v>214.84072968750007</v>
      </c>
      <c r="K8" s="163"/>
      <c r="L8" s="177">
        <f t="shared" ref="L8:AQ8" si="11">$C8*L$21</f>
        <v>168.33333333333337</v>
      </c>
      <c r="M8" s="177">
        <f t="shared" si="11"/>
        <v>168.33333333333337</v>
      </c>
      <c r="N8" s="177">
        <f t="shared" si="11"/>
        <v>168.33333333333337</v>
      </c>
      <c r="O8" s="177">
        <f t="shared" si="11"/>
        <v>168.33333333333337</v>
      </c>
      <c r="P8" s="177">
        <f t="shared" si="11"/>
        <v>176.75000000000006</v>
      </c>
      <c r="Q8" s="177">
        <f t="shared" si="11"/>
        <v>176.75000000000006</v>
      </c>
      <c r="R8" s="177">
        <f t="shared" si="11"/>
        <v>176.75000000000006</v>
      </c>
      <c r="S8" s="177">
        <f t="shared" si="11"/>
        <v>176.75000000000006</v>
      </c>
      <c r="T8" s="177">
        <f t="shared" si="11"/>
        <v>176.75000000000006</v>
      </c>
      <c r="U8" s="177">
        <f t="shared" si="11"/>
        <v>176.75000000000006</v>
      </c>
      <c r="V8" s="177">
        <f t="shared" si="11"/>
        <v>176.75000000000006</v>
      </c>
      <c r="W8" s="177">
        <f t="shared" si="11"/>
        <v>176.75000000000006</v>
      </c>
      <c r="X8" s="177">
        <f t="shared" si="11"/>
        <v>176.75000000000006</v>
      </c>
      <c r="Y8" s="177">
        <f t="shared" si="11"/>
        <v>176.75000000000006</v>
      </c>
      <c r="Z8" s="177">
        <f t="shared" si="11"/>
        <v>176.75000000000006</v>
      </c>
      <c r="AA8" s="177">
        <f t="shared" si="11"/>
        <v>176.75000000000006</v>
      </c>
      <c r="AB8" s="177">
        <f t="shared" si="11"/>
        <v>185.58750000000003</v>
      </c>
      <c r="AC8" s="177">
        <f t="shared" si="11"/>
        <v>185.58750000000003</v>
      </c>
      <c r="AD8" s="177">
        <f t="shared" si="11"/>
        <v>185.58750000000003</v>
      </c>
      <c r="AE8" s="177">
        <f t="shared" si="11"/>
        <v>185.58750000000003</v>
      </c>
      <c r="AF8" s="177">
        <f t="shared" si="11"/>
        <v>185.58750000000003</v>
      </c>
      <c r="AG8" s="177">
        <f t="shared" si="11"/>
        <v>185.58750000000003</v>
      </c>
      <c r="AH8" s="177">
        <f t="shared" si="11"/>
        <v>185.58750000000003</v>
      </c>
      <c r="AI8" s="177">
        <f t="shared" si="11"/>
        <v>185.58750000000003</v>
      </c>
      <c r="AJ8" s="177">
        <f t="shared" si="11"/>
        <v>185.58750000000003</v>
      </c>
      <c r="AK8" s="177">
        <f t="shared" si="11"/>
        <v>185.58750000000003</v>
      </c>
      <c r="AL8" s="177">
        <f t="shared" si="11"/>
        <v>185.58750000000003</v>
      </c>
      <c r="AM8" s="177">
        <f t="shared" si="11"/>
        <v>185.58750000000003</v>
      </c>
      <c r="AN8" s="177">
        <f t="shared" si="11"/>
        <v>194.86687500000008</v>
      </c>
      <c r="AO8" s="177">
        <f t="shared" si="11"/>
        <v>194.86687500000008</v>
      </c>
      <c r="AP8" s="177">
        <f t="shared" si="11"/>
        <v>194.86687500000008</v>
      </c>
      <c r="AQ8" s="177">
        <f t="shared" si="11"/>
        <v>194.86687500000008</v>
      </c>
      <c r="AR8" s="177">
        <f t="shared" ref="AR8:BS8" si="12">$C8*AR$21</f>
        <v>194.86687500000008</v>
      </c>
      <c r="AS8" s="177">
        <f t="shared" si="12"/>
        <v>194.86687500000008</v>
      </c>
      <c r="AT8" s="177">
        <f t="shared" si="12"/>
        <v>194.86687500000008</v>
      </c>
      <c r="AU8" s="177">
        <f t="shared" si="12"/>
        <v>194.86687500000008</v>
      </c>
      <c r="AV8" s="177">
        <f t="shared" si="12"/>
        <v>194.86687500000008</v>
      </c>
      <c r="AW8" s="177">
        <f t="shared" si="12"/>
        <v>194.86687500000008</v>
      </c>
      <c r="AX8" s="177">
        <f t="shared" si="12"/>
        <v>194.86687500000008</v>
      </c>
      <c r="AY8" s="177">
        <f t="shared" si="12"/>
        <v>194.86687500000008</v>
      </c>
      <c r="AZ8" s="177">
        <f t="shared" si="12"/>
        <v>204.61021875000009</v>
      </c>
      <c r="BA8" s="177">
        <f t="shared" si="12"/>
        <v>204.61021875000009</v>
      </c>
      <c r="BB8" s="177">
        <f t="shared" si="12"/>
        <v>204.61021875000009</v>
      </c>
      <c r="BC8" s="177">
        <f t="shared" si="12"/>
        <v>204.61021875000009</v>
      </c>
      <c r="BD8" s="177">
        <f t="shared" si="12"/>
        <v>204.61021875000009</v>
      </c>
      <c r="BE8" s="177">
        <f t="shared" si="12"/>
        <v>204.61021875000009</v>
      </c>
      <c r="BF8" s="177">
        <f t="shared" si="12"/>
        <v>204.61021875000009</v>
      </c>
      <c r="BG8" s="177">
        <f t="shared" si="12"/>
        <v>204.61021875000009</v>
      </c>
      <c r="BH8" s="177">
        <f t="shared" si="12"/>
        <v>204.61021875000009</v>
      </c>
      <c r="BI8" s="177">
        <f t="shared" si="12"/>
        <v>204.61021875000009</v>
      </c>
      <c r="BJ8" s="177">
        <f t="shared" si="12"/>
        <v>204.61021875000009</v>
      </c>
      <c r="BK8" s="177">
        <f t="shared" si="12"/>
        <v>204.61021875000009</v>
      </c>
      <c r="BL8" s="177">
        <f t="shared" si="12"/>
        <v>214.8407296875001</v>
      </c>
      <c r="BM8" s="177">
        <f t="shared" si="12"/>
        <v>214.8407296875001</v>
      </c>
      <c r="BN8" s="177">
        <f t="shared" si="12"/>
        <v>214.8407296875001</v>
      </c>
      <c r="BO8" s="177">
        <f t="shared" si="12"/>
        <v>214.8407296875001</v>
      </c>
      <c r="BP8" s="177">
        <f t="shared" si="12"/>
        <v>214.8407296875001</v>
      </c>
      <c r="BQ8" s="177">
        <f t="shared" si="12"/>
        <v>214.8407296875001</v>
      </c>
      <c r="BR8" s="177">
        <f t="shared" si="12"/>
        <v>214.8407296875001</v>
      </c>
      <c r="BS8" s="177">
        <f t="shared" si="12"/>
        <v>214.8407296875001</v>
      </c>
    </row>
    <row r="9" spans="1:72" s="130" customFormat="1" ht="30.6" customHeight="1">
      <c r="A9" s="30" t="str">
        <f>Допущения!A21</f>
        <v>Говядина четверти</v>
      </c>
      <c r="B9" s="75" t="str">
        <f>Допущения!B21</f>
        <v>руб./кг</v>
      </c>
      <c r="C9" s="177">
        <f>Допущения!$C21/(1+Допущения!$C$68)*'Анализ чувствительности'!$B$1/100</f>
        <v>395.83333333333337</v>
      </c>
      <c r="D9" s="163"/>
      <c r="E9" s="177">
        <f t="shared" si="10"/>
        <v>395.83333333333337</v>
      </c>
      <c r="F9" s="177">
        <f t="shared" si="10"/>
        <v>415.62500000000006</v>
      </c>
      <c r="G9" s="177">
        <f t="shared" si="10"/>
        <v>436.40625000000006</v>
      </c>
      <c r="H9" s="177">
        <f t="shared" si="10"/>
        <v>458.22656250000006</v>
      </c>
      <c r="I9" s="177">
        <f t="shared" si="10"/>
        <v>481.13789062500013</v>
      </c>
      <c r="J9" s="177">
        <f t="shared" si="10"/>
        <v>505.19478515625008</v>
      </c>
      <c r="K9" s="163"/>
      <c r="L9" s="177">
        <f>$C9*L$21</f>
        <v>395.83333333333337</v>
      </c>
      <c r="M9" s="177">
        <f t="shared" ref="M9:BS13" si="13">$C9*M$21</f>
        <v>395.83333333333337</v>
      </c>
      <c r="N9" s="177">
        <f t="shared" si="13"/>
        <v>395.83333333333337</v>
      </c>
      <c r="O9" s="177">
        <f t="shared" si="13"/>
        <v>395.83333333333337</v>
      </c>
      <c r="P9" s="177">
        <f t="shared" si="13"/>
        <v>415.62500000000006</v>
      </c>
      <c r="Q9" s="177">
        <f t="shared" si="13"/>
        <v>415.62500000000006</v>
      </c>
      <c r="R9" s="177">
        <f t="shared" si="13"/>
        <v>415.62500000000006</v>
      </c>
      <c r="S9" s="177">
        <f t="shared" si="13"/>
        <v>415.62500000000006</v>
      </c>
      <c r="T9" s="177">
        <f t="shared" si="13"/>
        <v>415.62500000000006</v>
      </c>
      <c r="U9" s="177">
        <f t="shared" si="13"/>
        <v>415.62500000000006</v>
      </c>
      <c r="V9" s="177">
        <f t="shared" si="13"/>
        <v>415.62500000000006</v>
      </c>
      <c r="W9" s="177">
        <f t="shared" si="13"/>
        <v>415.62500000000006</v>
      </c>
      <c r="X9" s="177">
        <f t="shared" si="13"/>
        <v>415.62500000000006</v>
      </c>
      <c r="Y9" s="177">
        <f t="shared" si="13"/>
        <v>415.62500000000006</v>
      </c>
      <c r="Z9" s="177">
        <f t="shared" si="13"/>
        <v>415.62500000000006</v>
      </c>
      <c r="AA9" s="177">
        <f t="shared" si="13"/>
        <v>415.62500000000006</v>
      </c>
      <c r="AB9" s="177">
        <f t="shared" si="13"/>
        <v>436.40625000000006</v>
      </c>
      <c r="AC9" s="177">
        <f t="shared" si="13"/>
        <v>436.40625000000006</v>
      </c>
      <c r="AD9" s="177">
        <f t="shared" si="13"/>
        <v>436.40625000000006</v>
      </c>
      <c r="AE9" s="177">
        <f t="shared" si="13"/>
        <v>436.40625000000006</v>
      </c>
      <c r="AF9" s="177">
        <f t="shared" si="13"/>
        <v>436.40625000000006</v>
      </c>
      <c r="AG9" s="177">
        <f t="shared" si="13"/>
        <v>436.40625000000006</v>
      </c>
      <c r="AH9" s="177">
        <f t="shared" si="13"/>
        <v>436.40625000000006</v>
      </c>
      <c r="AI9" s="177">
        <f t="shared" si="13"/>
        <v>436.40625000000006</v>
      </c>
      <c r="AJ9" s="177">
        <f t="shared" si="13"/>
        <v>436.40625000000006</v>
      </c>
      <c r="AK9" s="177">
        <f t="shared" si="13"/>
        <v>436.40625000000006</v>
      </c>
      <c r="AL9" s="177">
        <f t="shared" si="13"/>
        <v>436.40625000000006</v>
      </c>
      <c r="AM9" s="177">
        <f t="shared" si="13"/>
        <v>436.40625000000006</v>
      </c>
      <c r="AN9" s="177">
        <f t="shared" si="13"/>
        <v>458.22656250000011</v>
      </c>
      <c r="AO9" s="177">
        <f t="shared" si="13"/>
        <v>458.22656250000011</v>
      </c>
      <c r="AP9" s="177">
        <f t="shared" si="13"/>
        <v>458.22656250000011</v>
      </c>
      <c r="AQ9" s="177">
        <f t="shared" si="13"/>
        <v>458.22656250000011</v>
      </c>
      <c r="AR9" s="177">
        <f t="shared" si="13"/>
        <v>458.22656250000011</v>
      </c>
      <c r="AS9" s="177">
        <f t="shared" si="13"/>
        <v>458.22656250000011</v>
      </c>
      <c r="AT9" s="177">
        <f t="shared" si="13"/>
        <v>458.22656250000011</v>
      </c>
      <c r="AU9" s="177">
        <f t="shared" si="13"/>
        <v>458.22656250000011</v>
      </c>
      <c r="AV9" s="177">
        <f t="shared" si="13"/>
        <v>458.22656250000011</v>
      </c>
      <c r="AW9" s="177">
        <f t="shared" si="13"/>
        <v>458.22656250000011</v>
      </c>
      <c r="AX9" s="177">
        <f t="shared" si="13"/>
        <v>458.22656250000011</v>
      </c>
      <c r="AY9" s="177">
        <f t="shared" si="13"/>
        <v>458.22656250000011</v>
      </c>
      <c r="AZ9" s="177">
        <f t="shared" si="13"/>
        <v>481.13789062500013</v>
      </c>
      <c r="BA9" s="177">
        <f t="shared" si="13"/>
        <v>481.13789062500013</v>
      </c>
      <c r="BB9" s="177">
        <f t="shared" si="13"/>
        <v>481.13789062500013</v>
      </c>
      <c r="BC9" s="177">
        <f t="shared" si="13"/>
        <v>481.13789062500013</v>
      </c>
      <c r="BD9" s="177">
        <f t="shared" si="13"/>
        <v>481.13789062500013</v>
      </c>
      <c r="BE9" s="177">
        <f t="shared" si="13"/>
        <v>481.13789062500013</v>
      </c>
      <c r="BF9" s="177">
        <f t="shared" si="13"/>
        <v>481.13789062500013</v>
      </c>
      <c r="BG9" s="177">
        <f t="shared" si="13"/>
        <v>481.13789062500013</v>
      </c>
      <c r="BH9" s="177">
        <f t="shared" si="13"/>
        <v>481.13789062500013</v>
      </c>
      <c r="BI9" s="177">
        <f t="shared" si="13"/>
        <v>481.13789062500013</v>
      </c>
      <c r="BJ9" s="177">
        <f t="shared" si="13"/>
        <v>481.13789062500013</v>
      </c>
      <c r="BK9" s="177">
        <f t="shared" si="13"/>
        <v>481.13789062500013</v>
      </c>
      <c r="BL9" s="177">
        <f t="shared" si="13"/>
        <v>505.19478515625019</v>
      </c>
      <c r="BM9" s="177">
        <f t="shared" si="13"/>
        <v>505.19478515625019</v>
      </c>
      <c r="BN9" s="177">
        <f t="shared" si="13"/>
        <v>505.19478515625019</v>
      </c>
      <c r="BO9" s="177">
        <f t="shared" si="13"/>
        <v>505.19478515625019</v>
      </c>
      <c r="BP9" s="177">
        <f t="shared" si="13"/>
        <v>505.19478515625019</v>
      </c>
      <c r="BQ9" s="177">
        <f t="shared" si="13"/>
        <v>505.19478515625019</v>
      </c>
      <c r="BR9" s="177">
        <f t="shared" si="13"/>
        <v>505.19478515625019</v>
      </c>
      <c r="BS9" s="177">
        <f t="shared" si="13"/>
        <v>505.19478515625019</v>
      </c>
    </row>
    <row r="10" spans="1:72" s="130" customFormat="1" ht="30.6" customHeight="1">
      <c r="A10" s="30" t="str">
        <f>Допущения!A22</f>
        <v>Тушки куриные</v>
      </c>
      <c r="B10" s="75" t="str">
        <f>Допущения!B22</f>
        <v>руб./кг</v>
      </c>
      <c r="C10" s="177">
        <f>Допущения!$C22/(1+Допущения!$C$68)*'Анализ чувствительности'!$B$1/100</f>
        <v>158.33333333333334</v>
      </c>
      <c r="D10" s="163"/>
      <c r="E10" s="177">
        <f t="shared" si="10"/>
        <v>158.33333333333334</v>
      </c>
      <c r="F10" s="177">
        <f t="shared" si="10"/>
        <v>166.25000000000003</v>
      </c>
      <c r="G10" s="177">
        <f t="shared" si="10"/>
        <v>174.56250000000003</v>
      </c>
      <c r="H10" s="177">
        <f t="shared" si="10"/>
        <v>183.29062500000006</v>
      </c>
      <c r="I10" s="177">
        <f t="shared" si="10"/>
        <v>192.45515625000004</v>
      </c>
      <c r="J10" s="177">
        <f t="shared" si="10"/>
        <v>202.07791406250004</v>
      </c>
      <c r="K10" s="163"/>
      <c r="L10" s="177">
        <f t="shared" ref="L10:AA17" si="14">$C10*L$21</f>
        <v>158.33333333333334</v>
      </c>
      <c r="M10" s="177">
        <f t="shared" si="14"/>
        <v>158.33333333333334</v>
      </c>
      <c r="N10" s="177">
        <f t="shared" si="14"/>
        <v>158.33333333333334</v>
      </c>
      <c r="O10" s="177">
        <f t="shared" si="14"/>
        <v>158.33333333333334</v>
      </c>
      <c r="P10" s="177">
        <f t="shared" si="14"/>
        <v>166.25000000000003</v>
      </c>
      <c r="Q10" s="177">
        <f t="shared" si="14"/>
        <v>166.25000000000003</v>
      </c>
      <c r="R10" s="177">
        <f t="shared" si="14"/>
        <v>166.25000000000003</v>
      </c>
      <c r="S10" s="177">
        <f t="shared" si="14"/>
        <v>166.25000000000003</v>
      </c>
      <c r="T10" s="177">
        <f t="shared" si="14"/>
        <v>166.25000000000003</v>
      </c>
      <c r="U10" s="177">
        <f t="shared" si="14"/>
        <v>166.25000000000003</v>
      </c>
      <c r="V10" s="177">
        <f t="shared" si="14"/>
        <v>166.25000000000003</v>
      </c>
      <c r="W10" s="177">
        <f t="shared" si="14"/>
        <v>166.25000000000003</v>
      </c>
      <c r="X10" s="177">
        <f t="shared" si="14"/>
        <v>166.25000000000003</v>
      </c>
      <c r="Y10" s="177">
        <f t="shared" si="14"/>
        <v>166.25000000000003</v>
      </c>
      <c r="Z10" s="177">
        <f t="shared" si="14"/>
        <v>166.25000000000003</v>
      </c>
      <c r="AA10" s="177">
        <f t="shared" si="14"/>
        <v>166.25000000000003</v>
      </c>
      <c r="AB10" s="177">
        <f t="shared" si="13"/>
        <v>174.56250000000003</v>
      </c>
      <c r="AC10" s="177">
        <f t="shared" si="13"/>
        <v>174.56250000000003</v>
      </c>
      <c r="AD10" s="177">
        <f t="shared" si="13"/>
        <v>174.56250000000003</v>
      </c>
      <c r="AE10" s="177">
        <f t="shared" si="13"/>
        <v>174.56250000000003</v>
      </c>
      <c r="AF10" s="177">
        <f t="shared" si="13"/>
        <v>174.56250000000003</v>
      </c>
      <c r="AG10" s="177">
        <f t="shared" si="13"/>
        <v>174.56250000000003</v>
      </c>
      <c r="AH10" s="177">
        <f t="shared" si="13"/>
        <v>174.56250000000003</v>
      </c>
      <c r="AI10" s="177">
        <f t="shared" si="13"/>
        <v>174.56250000000003</v>
      </c>
      <c r="AJ10" s="177">
        <f t="shared" si="13"/>
        <v>174.56250000000003</v>
      </c>
      <c r="AK10" s="177">
        <f t="shared" si="13"/>
        <v>174.56250000000003</v>
      </c>
      <c r="AL10" s="177">
        <f t="shared" si="13"/>
        <v>174.56250000000003</v>
      </c>
      <c r="AM10" s="177">
        <f t="shared" si="13"/>
        <v>174.56250000000003</v>
      </c>
      <c r="AN10" s="177">
        <f t="shared" si="13"/>
        <v>183.29062500000003</v>
      </c>
      <c r="AO10" s="177">
        <f t="shared" si="13"/>
        <v>183.29062500000003</v>
      </c>
      <c r="AP10" s="177">
        <f t="shared" si="13"/>
        <v>183.29062500000003</v>
      </c>
      <c r="AQ10" s="177">
        <f t="shared" si="13"/>
        <v>183.29062500000003</v>
      </c>
      <c r="AR10" s="177">
        <f t="shared" si="13"/>
        <v>183.29062500000003</v>
      </c>
      <c r="AS10" s="177">
        <f t="shared" si="13"/>
        <v>183.29062500000003</v>
      </c>
      <c r="AT10" s="177">
        <f t="shared" si="13"/>
        <v>183.29062500000003</v>
      </c>
      <c r="AU10" s="177">
        <f t="shared" si="13"/>
        <v>183.29062500000003</v>
      </c>
      <c r="AV10" s="177">
        <f t="shared" si="13"/>
        <v>183.29062500000003</v>
      </c>
      <c r="AW10" s="177">
        <f t="shared" si="13"/>
        <v>183.29062500000003</v>
      </c>
      <c r="AX10" s="177">
        <f t="shared" si="13"/>
        <v>183.29062500000003</v>
      </c>
      <c r="AY10" s="177">
        <f t="shared" si="13"/>
        <v>183.29062500000003</v>
      </c>
      <c r="AZ10" s="177">
        <f t="shared" si="13"/>
        <v>192.45515625000004</v>
      </c>
      <c r="BA10" s="177">
        <f t="shared" si="13"/>
        <v>192.45515625000004</v>
      </c>
      <c r="BB10" s="177">
        <f t="shared" si="13"/>
        <v>192.45515625000004</v>
      </c>
      <c r="BC10" s="177">
        <f t="shared" si="13"/>
        <v>192.45515625000004</v>
      </c>
      <c r="BD10" s="177">
        <f t="shared" si="13"/>
        <v>192.45515625000004</v>
      </c>
      <c r="BE10" s="177">
        <f t="shared" si="13"/>
        <v>192.45515625000004</v>
      </c>
      <c r="BF10" s="177">
        <f t="shared" si="13"/>
        <v>192.45515625000004</v>
      </c>
      <c r="BG10" s="177">
        <f t="shared" si="13"/>
        <v>192.45515625000004</v>
      </c>
      <c r="BH10" s="177">
        <f t="shared" si="13"/>
        <v>192.45515625000004</v>
      </c>
      <c r="BI10" s="177">
        <f t="shared" si="13"/>
        <v>192.45515625000004</v>
      </c>
      <c r="BJ10" s="177">
        <f t="shared" si="13"/>
        <v>192.45515625000004</v>
      </c>
      <c r="BK10" s="177">
        <f t="shared" si="13"/>
        <v>192.45515625000004</v>
      </c>
      <c r="BL10" s="177">
        <f t="shared" si="13"/>
        <v>202.07791406250007</v>
      </c>
      <c r="BM10" s="177">
        <f t="shared" si="13"/>
        <v>202.07791406250007</v>
      </c>
      <c r="BN10" s="177">
        <f t="shared" si="13"/>
        <v>202.07791406250007</v>
      </c>
      <c r="BO10" s="177">
        <f t="shared" si="13"/>
        <v>202.07791406250007</v>
      </c>
      <c r="BP10" s="177">
        <f t="shared" si="13"/>
        <v>202.07791406250007</v>
      </c>
      <c r="BQ10" s="177">
        <f t="shared" si="13"/>
        <v>202.07791406250007</v>
      </c>
      <c r="BR10" s="177">
        <f t="shared" si="13"/>
        <v>202.07791406250007</v>
      </c>
      <c r="BS10" s="177">
        <f t="shared" si="13"/>
        <v>202.07791406250007</v>
      </c>
    </row>
    <row r="11" spans="1:72" s="130" customFormat="1" ht="30.6" customHeight="1">
      <c r="A11" s="30" t="str">
        <f>Допущения!A23</f>
        <v>Тушки индейки</v>
      </c>
      <c r="B11" s="75" t="str">
        <f>Допущения!B23</f>
        <v>руб./кг</v>
      </c>
      <c r="C11" s="177">
        <f>Допущения!$C23/(1+Допущения!$C$68)*'Анализ чувствительности'!$B$1/100</f>
        <v>208.33333333333337</v>
      </c>
      <c r="D11" s="163"/>
      <c r="E11" s="177">
        <f t="shared" si="10"/>
        <v>208.33333333333337</v>
      </c>
      <c r="F11" s="177">
        <f t="shared" si="10"/>
        <v>218.75000000000003</v>
      </c>
      <c r="G11" s="177">
        <f t="shared" si="10"/>
        <v>229.68750000000003</v>
      </c>
      <c r="H11" s="177">
        <f t="shared" si="10"/>
        <v>241.17187500000003</v>
      </c>
      <c r="I11" s="177">
        <f t="shared" si="10"/>
        <v>253.23046875000003</v>
      </c>
      <c r="J11" s="177">
        <f t="shared" si="10"/>
        <v>265.89199218750014</v>
      </c>
      <c r="K11" s="163"/>
      <c r="L11" s="177">
        <f t="shared" si="14"/>
        <v>208.33333333333337</v>
      </c>
      <c r="M11" s="177">
        <f t="shared" si="13"/>
        <v>208.33333333333337</v>
      </c>
      <c r="N11" s="177">
        <f t="shared" si="13"/>
        <v>208.33333333333337</v>
      </c>
      <c r="O11" s="177">
        <f t="shared" si="13"/>
        <v>208.33333333333337</v>
      </c>
      <c r="P11" s="177">
        <f t="shared" si="13"/>
        <v>218.75000000000006</v>
      </c>
      <c r="Q11" s="177">
        <f t="shared" si="13"/>
        <v>218.75000000000006</v>
      </c>
      <c r="R11" s="177">
        <f t="shared" si="13"/>
        <v>218.75000000000006</v>
      </c>
      <c r="S11" s="177">
        <f t="shared" si="13"/>
        <v>218.75000000000006</v>
      </c>
      <c r="T11" s="177">
        <f t="shared" si="13"/>
        <v>218.75000000000006</v>
      </c>
      <c r="U11" s="177">
        <f t="shared" si="13"/>
        <v>218.75000000000006</v>
      </c>
      <c r="V11" s="177">
        <f t="shared" si="13"/>
        <v>218.75000000000006</v>
      </c>
      <c r="W11" s="177">
        <f t="shared" si="13"/>
        <v>218.75000000000006</v>
      </c>
      <c r="X11" s="177">
        <f t="shared" si="13"/>
        <v>218.75000000000006</v>
      </c>
      <c r="Y11" s="177">
        <f t="shared" si="13"/>
        <v>218.75000000000006</v>
      </c>
      <c r="Z11" s="177">
        <f t="shared" si="13"/>
        <v>218.75000000000006</v>
      </c>
      <c r="AA11" s="177">
        <f t="shared" si="13"/>
        <v>218.75000000000006</v>
      </c>
      <c r="AB11" s="177">
        <f t="shared" si="13"/>
        <v>229.68750000000006</v>
      </c>
      <c r="AC11" s="177">
        <f t="shared" si="13"/>
        <v>229.68750000000006</v>
      </c>
      <c r="AD11" s="177">
        <f t="shared" si="13"/>
        <v>229.68750000000006</v>
      </c>
      <c r="AE11" s="177">
        <f t="shared" si="13"/>
        <v>229.68750000000006</v>
      </c>
      <c r="AF11" s="177">
        <f t="shared" si="13"/>
        <v>229.68750000000006</v>
      </c>
      <c r="AG11" s="177">
        <f t="shared" si="13"/>
        <v>229.68750000000006</v>
      </c>
      <c r="AH11" s="177">
        <f t="shared" si="13"/>
        <v>229.68750000000006</v>
      </c>
      <c r="AI11" s="177">
        <f t="shared" si="13"/>
        <v>229.68750000000006</v>
      </c>
      <c r="AJ11" s="177">
        <f t="shared" si="13"/>
        <v>229.68750000000006</v>
      </c>
      <c r="AK11" s="177">
        <f t="shared" si="13"/>
        <v>229.68750000000006</v>
      </c>
      <c r="AL11" s="177">
        <f t="shared" si="13"/>
        <v>229.68750000000006</v>
      </c>
      <c r="AM11" s="177">
        <f t="shared" si="13"/>
        <v>229.68750000000006</v>
      </c>
      <c r="AN11" s="177">
        <f t="shared" si="13"/>
        <v>241.17187500000006</v>
      </c>
      <c r="AO11" s="177">
        <f t="shared" si="13"/>
        <v>241.17187500000006</v>
      </c>
      <c r="AP11" s="177">
        <f t="shared" si="13"/>
        <v>241.17187500000006</v>
      </c>
      <c r="AQ11" s="177">
        <f t="shared" si="13"/>
        <v>241.17187500000006</v>
      </c>
      <c r="AR11" s="177">
        <f t="shared" si="13"/>
        <v>241.17187500000006</v>
      </c>
      <c r="AS11" s="177">
        <f t="shared" si="13"/>
        <v>241.17187500000006</v>
      </c>
      <c r="AT11" s="177">
        <f t="shared" si="13"/>
        <v>241.17187500000006</v>
      </c>
      <c r="AU11" s="177">
        <f t="shared" si="13"/>
        <v>241.17187500000006</v>
      </c>
      <c r="AV11" s="177">
        <f t="shared" si="13"/>
        <v>241.17187500000006</v>
      </c>
      <c r="AW11" s="177">
        <f t="shared" si="13"/>
        <v>241.17187500000006</v>
      </c>
      <c r="AX11" s="177">
        <f t="shared" si="13"/>
        <v>241.17187500000006</v>
      </c>
      <c r="AY11" s="177">
        <f t="shared" si="13"/>
        <v>241.17187500000006</v>
      </c>
      <c r="AZ11" s="177">
        <f t="shared" si="13"/>
        <v>253.23046875000009</v>
      </c>
      <c r="BA11" s="177">
        <f t="shared" si="13"/>
        <v>253.23046875000009</v>
      </c>
      <c r="BB11" s="177">
        <f t="shared" si="13"/>
        <v>253.23046875000009</v>
      </c>
      <c r="BC11" s="177">
        <f t="shared" si="13"/>
        <v>253.23046875000009</v>
      </c>
      <c r="BD11" s="177">
        <f t="shared" si="13"/>
        <v>253.23046875000009</v>
      </c>
      <c r="BE11" s="177">
        <f t="shared" si="13"/>
        <v>253.23046875000009</v>
      </c>
      <c r="BF11" s="177">
        <f t="shared" si="13"/>
        <v>253.23046875000009</v>
      </c>
      <c r="BG11" s="177">
        <f t="shared" si="13"/>
        <v>253.23046875000009</v>
      </c>
      <c r="BH11" s="177">
        <f t="shared" si="13"/>
        <v>253.23046875000009</v>
      </c>
      <c r="BI11" s="177">
        <f t="shared" si="13"/>
        <v>253.23046875000009</v>
      </c>
      <c r="BJ11" s="177">
        <f t="shared" si="13"/>
        <v>253.23046875000009</v>
      </c>
      <c r="BK11" s="177">
        <f t="shared" si="13"/>
        <v>253.23046875000009</v>
      </c>
      <c r="BL11" s="177">
        <f t="shared" si="13"/>
        <v>265.89199218750014</v>
      </c>
      <c r="BM11" s="177">
        <f t="shared" si="13"/>
        <v>265.89199218750014</v>
      </c>
      <c r="BN11" s="177">
        <f t="shared" si="13"/>
        <v>265.89199218750014</v>
      </c>
      <c r="BO11" s="177">
        <f t="shared" si="13"/>
        <v>265.89199218750014</v>
      </c>
      <c r="BP11" s="177">
        <f t="shared" si="13"/>
        <v>265.89199218750014</v>
      </c>
      <c r="BQ11" s="177">
        <f t="shared" si="13"/>
        <v>265.89199218750014</v>
      </c>
      <c r="BR11" s="177">
        <f t="shared" si="13"/>
        <v>265.89199218750014</v>
      </c>
      <c r="BS11" s="177">
        <f t="shared" si="13"/>
        <v>265.89199218750014</v>
      </c>
    </row>
    <row r="12" spans="1:72" s="130" customFormat="1" ht="30.6" customHeight="1">
      <c r="A12" s="30" t="str">
        <f>Допущения!A24</f>
        <v>Котлеты замороженные</v>
      </c>
      <c r="B12" s="75" t="str">
        <f>Допущения!B24</f>
        <v>руб./кг</v>
      </c>
      <c r="C12" s="177">
        <f>Допущения!$C24/(1+Допущения!$C$68)*'Анализ чувствительности'!$B$1/100</f>
        <v>250</v>
      </c>
      <c r="D12" s="163"/>
      <c r="E12" s="177">
        <f t="shared" si="10"/>
        <v>250</v>
      </c>
      <c r="F12" s="177">
        <f t="shared" si="10"/>
        <v>262.5</v>
      </c>
      <c r="G12" s="177">
        <f t="shared" si="10"/>
        <v>275.625</v>
      </c>
      <c r="H12" s="177">
        <f t="shared" si="10"/>
        <v>289.40625000000006</v>
      </c>
      <c r="I12" s="177">
        <f t="shared" si="10"/>
        <v>303.87656250000003</v>
      </c>
      <c r="J12" s="177">
        <f t="shared" si="10"/>
        <v>319.07039062500007</v>
      </c>
      <c r="K12" s="163"/>
      <c r="L12" s="177">
        <f t="shared" si="14"/>
        <v>250</v>
      </c>
      <c r="M12" s="177">
        <f t="shared" si="13"/>
        <v>250</v>
      </c>
      <c r="N12" s="177">
        <f t="shared" si="13"/>
        <v>250</v>
      </c>
      <c r="O12" s="177">
        <f t="shared" si="13"/>
        <v>250</v>
      </c>
      <c r="P12" s="177">
        <f t="shared" si="13"/>
        <v>262.5</v>
      </c>
      <c r="Q12" s="177">
        <f t="shared" si="13"/>
        <v>262.5</v>
      </c>
      <c r="R12" s="177">
        <f t="shared" si="13"/>
        <v>262.5</v>
      </c>
      <c r="S12" s="177">
        <f t="shared" si="13"/>
        <v>262.5</v>
      </c>
      <c r="T12" s="177">
        <f t="shared" si="13"/>
        <v>262.5</v>
      </c>
      <c r="U12" s="177">
        <f t="shared" si="13"/>
        <v>262.5</v>
      </c>
      <c r="V12" s="177">
        <f t="shared" si="13"/>
        <v>262.5</v>
      </c>
      <c r="W12" s="177">
        <f t="shared" si="13"/>
        <v>262.5</v>
      </c>
      <c r="X12" s="177">
        <f t="shared" si="13"/>
        <v>262.5</v>
      </c>
      <c r="Y12" s="177">
        <f t="shared" si="13"/>
        <v>262.5</v>
      </c>
      <c r="Z12" s="177">
        <f t="shared" si="13"/>
        <v>262.5</v>
      </c>
      <c r="AA12" s="177">
        <f t="shared" si="13"/>
        <v>262.5</v>
      </c>
      <c r="AB12" s="177">
        <f t="shared" si="13"/>
        <v>275.625</v>
      </c>
      <c r="AC12" s="177">
        <f t="shared" si="13"/>
        <v>275.625</v>
      </c>
      <c r="AD12" s="177">
        <f t="shared" si="13"/>
        <v>275.625</v>
      </c>
      <c r="AE12" s="177">
        <f t="shared" si="13"/>
        <v>275.625</v>
      </c>
      <c r="AF12" s="177">
        <f t="shared" si="13"/>
        <v>275.625</v>
      </c>
      <c r="AG12" s="177">
        <f t="shared" si="13"/>
        <v>275.625</v>
      </c>
      <c r="AH12" s="177">
        <f t="shared" si="13"/>
        <v>275.625</v>
      </c>
      <c r="AI12" s="177">
        <f t="shared" si="13"/>
        <v>275.625</v>
      </c>
      <c r="AJ12" s="177">
        <f t="shared" si="13"/>
        <v>275.625</v>
      </c>
      <c r="AK12" s="177">
        <f t="shared" si="13"/>
        <v>275.625</v>
      </c>
      <c r="AL12" s="177">
        <f t="shared" si="13"/>
        <v>275.625</v>
      </c>
      <c r="AM12" s="177">
        <f t="shared" si="13"/>
        <v>275.625</v>
      </c>
      <c r="AN12" s="177">
        <f t="shared" si="13"/>
        <v>289.40625000000006</v>
      </c>
      <c r="AO12" s="177">
        <f t="shared" si="13"/>
        <v>289.40625000000006</v>
      </c>
      <c r="AP12" s="177">
        <f t="shared" si="13"/>
        <v>289.40625000000006</v>
      </c>
      <c r="AQ12" s="177">
        <f t="shared" si="13"/>
        <v>289.40625000000006</v>
      </c>
      <c r="AR12" s="177">
        <f t="shared" si="13"/>
        <v>289.40625000000006</v>
      </c>
      <c r="AS12" s="177">
        <f t="shared" si="13"/>
        <v>289.40625000000006</v>
      </c>
      <c r="AT12" s="177">
        <f t="shared" si="13"/>
        <v>289.40625000000006</v>
      </c>
      <c r="AU12" s="177">
        <f t="shared" si="13"/>
        <v>289.40625000000006</v>
      </c>
      <c r="AV12" s="177">
        <f t="shared" si="13"/>
        <v>289.40625000000006</v>
      </c>
      <c r="AW12" s="177">
        <f t="shared" si="13"/>
        <v>289.40625000000006</v>
      </c>
      <c r="AX12" s="177">
        <f t="shared" si="13"/>
        <v>289.40625000000006</v>
      </c>
      <c r="AY12" s="177">
        <f t="shared" si="13"/>
        <v>289.40625000000006</v>
      </c>
      <c r="AZ12" s="177">
        <f t="shared" si="13"/>
        <v>303.87656250000003</v>
      </c>
      <c r="BA12" s="177">
        <f t="shared" si="13"/>
        <v>303.87656250000003</v>
      </c>
      <c r="BB12" s="177">
        <f t="shared" si="13"/>
        <v>303.87656250000003</v>
      </c>
      <c r="BC12" s="177">
        <f t="shared" si="13"/>
        <v>303.87656250000003</v>
      </c>
      <c r="BD12" s="177">
        <f t="shared" si="13"/>
        <v>303.87656250000003</v>
      </c>
      <c r="BE12" s="177">
        <f t="shared" si="13"/>
        <v>303.87656250000003</v>
      </c>
      <c r="BF12" s="177">
        <f t="shared" si="13"/>
        <v>303.87656250000003</v>
      </c>
      <c r="BG12" s="177">
        <f t="shared" si="13"/>
        <v>303.87656250000003</v>
      </c>
      <c r="BH12" s="177">
        <f t="shared" si="13"/>
        <v>303.87656250000003</v>
      </c>
      <c r="BI12" s="177">
        <f t="shared" si="13"/>
        <v>303.87656250000003</v>
      </c>
      <c r="BJ12" s="177">
        <f t="shared" si="13"/>
        <v>303.87656250000003</v>
      </c>
      <c r="BK12" s="177">
        <f t="shared" si="13"/>
        <v>303.87656250000003</v>
      </c>
      <c r="BL12" s="177">
        <f t="shared" si="13"/>
        <v>319.07039062500007</v>
      </c>
      <c r="BM12" s="177">
        <f t="shared" si="13"/>
        <v>319.07039062500007</v>
      </c>
      <c r="BN12" s="177">
        <f t="shared" si="13"/>
        <v>319.07039062500007</v>
      </c>
      <c r="BO12" s="177">
        <f t="shared" si="13"/>
        <v>319.07039062500007</v>
      </c>
      <c r="BP12" s="177">
        <f t="shared" si="13"/>
        <v>319.07039062500007</v>
      </c>
      <c r="BQ12" s="177">
        <f t="shared" si="13"/>
        <v>319.07039062500007</v>
      </c>
      <c r="BR12" s="177">
        <f t="shared" si="13"/>
        <v>319.07039062500007</v>
      </c>
      <c r="BS12" s="177">
        <f t="shared" si="13"/>
        <v>319.07039062500007</v>
      </c>
    </row>
    <row r="13" spans="1:72" s="130" customFormat="1" ht="30.6" customHeight="1">
      <c r="A13" s="30" t="str">
        <f>Допущения!A25</f>
        <v>Шашлык маринованный</v>
      </c>
      <c r="B13" s="75" t="str">
        <f>Допущения!B25</f>
        <v>руб./кг</v>
      </c>
      <c r="C13" s="177">
        <f>Допущения!$C25/(1+Допущения!$C$68)*'Анализ чувствительности'!$B$1/100</f>
        <v>233.33333333333337</v>
      </c>
      <c r="D13" s="163"/>
      <c r="E13" s="177">
        <f t="shared" si="10"/>
        <v>233.33333333333337</v>
      </c>
      <c r="F13" s="177">
        <f t="shared" si="10"/>
        <v>245.00000000000003</v>
      </c>
      <c r="G13" s="177">
        <f t="shared" si="10"/>
        <v>257.25000000000006</v>
      </c>
      <c r="H13" s="177">
        <f t="shared" si="10"/>
        <v>270.11250000000013</v>
      </c>
      <c r="I13" s="177">
        <f t="shared" si="10"/>
        <v>283.61812500000002</v>
      </c>
      <c r="J13" s="177">
        <f t="shared" si="10"/>
        <v>297.79903125000016</v>
      </c>
      <c r="K13" s="163"/>
      <c r="L13" s="177">
        <f t="shared" si="14"/>
        <v>233.33333333333337</v>
      </c>
      <c r="M13" s="177">
        <f t="shared" si="13"/>
        <v>233.33333333333337</v>
      </c>
      <c r="N13" s="177">
        <f t="shared" si="13"/>
        <v>233.33333333333337</v>
      </c>
      <c r="O13" s="177">
        <f t="shared" si="13"/>
        <v>233.33333333333337</v>
      </c>
      <c r="P13" s="177">
        <f t="shared" si="13"/>
        <v>245.00000000000006</v>
      </c>
      <c r="Q13" s="177">
        <f t="shared" si="13"/>
        <v>245.00000000000006</v>
      </c>
      <c r="R13" s="177">
        <f t="shared" si="13"/>
        <v>245.00000000000006</v>
      </c>
      <c r="S13" s="177">
        <f t="shared" si="13"/>
        <v>245.00000000000006</v>
      </c>
      <c r="T13" s="177">
        <f t="shared" si="13"/>
        <v>245.00000000000006</v>
      </c>
      <c r="U13" s="177">
        <f t="shared" si="13"/>
        <v>245.00000000000006</v>
      </c>
      <c r="V13" s="177">
        <f t="shared" si="13"/>
        <v>245.00000000000006</v>
      </c>
      <c r="W13" s="177">
        <f t="shared" si="13"/>
        <v>245.00000000000006</v>
      </c>
      <c r="X13" s="177">
        <f t="shared" si="13"/>
        <v>245.00000000000006</v>
      </c>
      <c r="Y13" s="177">
        <f t="shared" si="13"/>
        <v>245.00000000000006</v>
      </c>
      <c r="Z13" s="177">
        <f t="shared" si="13"/>
        <v>245.00000000000006</v>
      </c>
      <c r="AA13" s="177">
        <f t="shared" si="13"/>
        <v>245.00000000000006</v>
      </c>
      <c r="AB13" s="177">
        <f t="shared" si="13"/>
        <v>257.25000000000006</v>
      </c>
      <c r="AC13" s="177">
        <f t="shared" si="13"/>
        <v>257.25000000000006</v>
      </c>
      <c r="AD13" s="177">
        <f t="shared" si="13"/>
        <v>257.25000000000006</v>
      </c>
      <c r="AE13" s="177">
        <f t="shared" si="13"/>
        <v>257.25000000000006</v>
      </c>
      <c r="AF13" s="177">
        <f t="shared" si="13"/>
        <v>257.25000000000006</v>
      </c>
      <c r="AG13" s="177">
        <f t="shared" si="13"/>
        <v>257.25000000000006</v>
      </c>
      <c r="AH13" s="177">
        <f t="shared" si="13"/>
        <v>257.25000000000006</v>
      </c>
      <c r="AI13" s="177">
        <f t="shared" si="13"/>
        <v>257.25000000000006</v>
      </c>
      <c r="AJ13" s="177">
        <f t="shared" si="13"/>
        <v>257.25000000000006</v>
      </c>
      <c r="AK13" s="177">
        <f t="shared" si="13"/>
        <v>257.25000000000006</v>
      </c>
      <c r="AL13" s="177">
        <f t="shared" si="13"/>
        <v>257.25000000000006</v>
      </c>
      <c r="AM13" s="177">
        <f t="shared" si="13"/>
        <v>257.25000000000006</v>
      </c>
      <c r="AN13" s="177">
        <f t="shared" si="13"/>
        <v>270.11250000000007</v>
      </c>
      <c r="AO13" s="177">
        <f t="shared" si="13"/>
        <v>270.11250000000007</v>
      </c>
      <c r="AP13" s="177">
        <f t="shared" si="13"/>
        <v>270.11250000000007</v>
      </c>
      <c r="AQ13" s="177">
        <f t="shared" si="13"/>
        <v>270.11250000000007</v>
      </c>
      <c r="AR13" s="177">
        <f t="shared" si="13"/>
        <v>270.11250000000007</v>
      </c>
      <c r="AS13" s="177">
        <f t="shared" si="13"/>
        <v>270.11250000000007</v>
      </c>
      <c r="AT13" s="177">
        <f t="shared" si="13"/>
        <v>270.11250000000007</v>
      </c>
      <c r="AU13" s="177">
        <f t="shared" ref="M13:BS17" si="15">$C13*AU$21</f>
        <v>270.11250000000007</v>
      </c>
      <c r="AV13" s="177">
        <f t="shared" si="15"/>
        <v>270.11250000000007</v>
      </c>
      <c r="AW13" s="177">
        <f t="shared" si="15"/>
        <v>270.11250000000007</v>
      </c>
      <c r="AX13" s="177">
        <f t="shared" si="15"/>
        <v>270.11250000000007</v>
      </c>
      <c r="AY13" s="177">
        <f t="shared" si="15"/>
        <v>270.11250000000007</v>
      </c>
      <c r="AZ13" s="177">
        <f t="shared" si="15"/>
        <v>283.61812500000008</v>
      </c>
      <c r="BA13" s="177">
        <f t="shared" si="15"/>
        <v>283.61812500000008</v>
      </c>
      <c r="BB13" s="177">
        <f t="shared" si="15"/>
        <v>283.61812500000008</v>
      </c>
      <c r="BC13" s="177">
        <f t="shared" si="15"/>
        <v>283.61812500000008</v>
      </c>
      <c r="BD13" s="177">
        <f t="shared" si="15"/>
        <v>283.61812500000008</v>
      </c>
      <c r="BE13" s="177">
        <f t="shared" si="15"/>
        <v>283.61812500000008</v>
      </c>
      <c r="BF13" s="177">
        <f t="shared" si="15"/>
        <v>283.61812500000008</v>
      </c>
      <c r="BG13" s="177">
        <f t="shared" si="15"/>
        <v>283.61812500000008</v>
      </c>
      <c r="BH13" s="177">
        <f t="shared" si="15"/>
        <v>283.61812500000008</v>
      </c>
      <c r="BI13" s="177">
        <f t="shared" si="15"/>
        <v>283.61812500000008</v>
      </c>
      <c r="BJ13" s="177">
        <f t="shared" si="15"/>
        <v>283.61812500000008</v>
      </c>
      <c r="BK13" s="177">
        <f t="shared" si="15"/>
        <v>283.61812500000008</v>
      </c>
      <c r="BL13" s="177">
        <f t="shared" si="15"/>
        <v>297.79903125000016</v>
      </c>
      <c r="BM13" s="177">
        <f t="shared" si="15"/>
        <v>297.79903125000016</v>
      </c>
      <c r="BN13" s="177">
        <f t="shared" si="15"/>
        <v>297.79903125000016</v>
      </c>
      <c r="BO13" s="177">
        <f t="shared" si="15"/>
        <v>297.79903125000016</v>
      </c>
      <c r="BP13" s="177">
        <f t="shared" si="15"/>
        <v>297.79903125000016</v>
      </c>
      <c r="BQ13" s="177">
        <f t="shared" si="15"/>
        <v>297.79903125000016</v>
      </c>
      <c r="BR13" s="177">
        <f t="shared" si="15"/>
        <v>297.79903125000016</v>
      </c>
      <c r="BS13" s="177">
        <f t="shared" si="15"/>
        <v>297.79903125000016</v>
      </c>
    </row>
    <row r="14" spans="1:72" s="130" customFormat="1" ht="30.6" customHeight="1">
      <c r="A14" s="30" t="str">
        <f>Допущения!A26</f>
        <v>Фрикадельки</v>
      </c>
      <c r="B14" s="75" t="str">
        <f>Допущения!B26</f>
        <v>руб./кг</v>
      </c>
      <c r="C14" s="177">
        <f>Допущения!$C26/(1+Допущения!$C$68)*'Анализ чувствительности'!$B$1/100</f>
        <v>233.33333333333337</v>
      </c>
      <c r="D14" s="163"/>
      <c r="E14" s="177">
        <f t="shared" si="10"/>
        <v>233.33333333333337</v>
      </c>
      <c r="F14" s="177">
        <f t="shared" si="10"/>
        <v>245.00000000000003</v>
      </c>
      <c r="G14" s="177">
        <f t="shared" si="10"/>
        <v>257.25000000000006</v>
      </c>
      <c r="H14" s="177">
        <f t="shared" si="10"/>
        <v>270.11250000000013</v>
      </c>
      <c r="I14" s="177">
        <f t="shared" si="10"/>
        <v>283.61812500000002</v>
      </c>
      <c r="J14" s="177">
        <f t="shared" si="10"/>
        <v>297.79903125000016</v>
      </c>
      <c r="K14" s="163"/>
      <c r="L14" s="177">
        <f t="shared" si="14"/>
        <v>233.33333333333337</v>
      </c>
      <c r="M14" s="177">
        <f t="shared" si="15"/>
        <v>233.33333333333337</v>
      </c>
      <c r="N14" s="177">
        <f t="shared" si="15"/>
        <v>233.33333333333337</v>
      </c>
      <c r="O14" s="177">
        <f t="shared" si="15"/>
        <v>233.33333333333337</v>
      </c>
      <c r="P14" s="177">
        <f t="shared" si="15"/>
        <v>245.00000000000006</v>
      </c>
      <c r="Q14" s="177">
        <f t="shared" si="15"/>
        <v>245.00000000000006</v>
      </c>
      <c r="R14" s="177">
        <f t="shared" si="15"/>
        <v>245.00000000000006</v>
      </c>
      <c r="S14" s="177">
        <f t="shared" si="15"/>
        <v>245.00000000000006</v>
      </c>
      <c r="T14" s="177">
        <f t="shared" si="15"/>
        <v>245.00000000000006</v>
      </c>
      <c r="U14" s="177">
        <f t="shared" si="15"/>
        <v>245.00000000000006</v>
      </c>
      <c r="V14" s="177">
        <f t="shared" si="15"/>
        <v>245.00000000000006</v>
      </c>
      <c r="W14" s="177">
        <f t="shared" si="15"/>
        <v>245.00000000000006</v>
      </c>
      <c r="X14" s="177">
        <f t="shared" si="15"/>
        <v>245.00000000000006</v>
      </c>
      <c r="Y14" s="177">
        <f t="shared" si="15"/>
        <v>245.00000000000006</v>
      </c>
      <c r="Z14" s="177">
        <f t="shared" si="15"/>
        <v>245.00000000000006</v>
      </c>
      <c r="AA14" s="177">
        <f t="shared" si="15"/>
        <v>245.00000000000006</v>
      </c>
      <c r="AB14" s="177">
        <f t="shared" si="15"/>
        <v>257.25000000000006</v>
      </c>
      <c r="AC14" s="177">
        <f t="shared" si="15"/>
        <v>257.25000000000006</v>
      </c>
      <c r="AD14" s="177">
        <f t="shared" si="15"/>
        <v>257.25000000000006</v>
      </c>
      <c r="AE14" s="177">
        <f t="shared" si="15"/>
        <v>257.25000000000006</v>
      </c>
      <c r="AF14" s="177">
        <f t="shared" si="15"/>
        <v>257.25000000000006</v>
      </c>
      <c r="AG14" s="177">
        <f t="shared" si="15"/>
        <v>257.25000000000006</v>
      </c>
      <c r="AH14" s="177">
        <f t="shared" si="15"/>
        <v>257.25000000000006</v>
      </c>
      <c r="AI14" s="177">
        <f t="shared" si="15"/>
        <v>257.25000000000006</v>
      </c>
      <c r="AJ14" s="177">
        <f t="shared" si="15"/>
        <v>257.25000000000006</v>
      </c>
      <c r="AK14" s="177">
        <f t="shared" si="15"/>
        <v>257.25000000000006</v>
      </c>
      <c r="AL14" s="177">
        <f t="shared" si="15"/>
        <v>257.25000000000006</v>
      </c>
      <c r="AM14" s="177">
        <f t="shared" si="15"/>
        <v>257.25000000000006</v>
      </c>
      <c r="AN14" s="177">
        <f t="shared" si="15"/>
        <v>270.11250000000007</v>
      </c>
      <c r="AO14" s="177">
        <f t="shared" si="15"/>
        <v>270.11250000000007</v>
      </c>
      <c r="AP14" s="177">
        <f t="shared" si="15"/>
        <v>270.11250000000007</v>
      </c>
      <c r="AQ14" s="177">
        <f t="shared" si="15"/>
        <v>270.11250000000007</v>
      </c>
      <c r="AR14" s="177">
        <f t="shared" si="15"/>
        <v>270.11250000000007</v>
      </c>
      <c r="AS14" s="177">
        <f t="shared" si="15"/>
        <v>270.11250000000007</v>
      </c>
      <c r="AT14" s="177">
        <f t="shared" si="15"/>
        <v>270.11250000000007</v>
      </c>
      <c r="AU14" s="177">
        <f t="shared" si="15"/>
        <v>270.11250000000007</v>
      </c>
      <c r="AV14" s="177">
        <f t="shared" si="15"/>
        <v>270.11250000000007</v>
      </c>
      <c r="AW14" s="177">
        <f t="shared" si="15"/>
        <v>270.11250000000007</v>
      </c>
      <c r="AX14" s="177">
        <f t="shared" si="15"/>
        <v>270.11250000000007</v>
      </c>
      <c r="AY14" s="177">
        <f t="shared" si="15"/>
        <v>270.11250000000007</v>
      </c>
      <c r="AZ14" s="177">
        <f t="shared" si="15"/>
        <v>283.61812500000008</v>
      </c>
      <c r="BA14" s="177">
        <f t="shared" si="15"/>
        <v>283.61812500000008</v>
      </c>
      <c r="BB14" s="177">
        <f t="shared" si="15"/>
        <v>283.61812500000008</v>
      </c>
      <c r="BC14" s="177">
        <f t="shared" si="15"/>
        <v>283.61812500000008</v>
      </c>
      <c r="BD14" s="177">
        <f t="shared" si="15"/>
        <v>283.61812500000008</v>
      </c>
      <c r="BE14" s="177">
        <f t="shared" si="15"/>
        <v>283.61812500000008</v>
      </c>
      <c r="BF14" s="177">
        <f t="shared" si="15"/>
        <v>283.61812500000008</v>
      </c>
      <c r="BG14" s="177">
        <f t="shared" si="15"/>
        <v>283.61812500000008</v>
      </c>
      <c r="BH14" s="177">
        <f t="shared" si="15"/>
        <v>283.61812500000008</v>
      </c>
      <c r="BI14" s="177">
        <f t="shared" si="15"/>
        <v>283.61812500000008</v>
      </c>
      <c r="BJ14" s="177">
        <f t="shared" si="15"/>
        <v>283.61812500000008</v>
      </c>
      <c r="BK14" s="177">
        <f t="shared" si="15"/>
        <v>283.61812500000008</v>
      </c>
      <c r="BL14" s="177">
        <f t="shared" si="15"/>
        <v>297.79903125000016</v>
      </c>
      <c r="BM14" s="177">
        <f t="shared" si="15"/>
        <v>297.79903125000016</v>
      </c>
      <c r="BN14" s="177">
        <f t="shared" si="15"/>
        <v>297.79903125000016</v>
      </c>
      <c r="BO14" s="177">
        <f t="shared" si="15"/>
        <v>297.79903125000016</v>
      </c>
      <c r="BP14" s="177">
        <f t="shared" si="15"/>
        <v>297.79903125000016</v>
      </c>
      <c r="BQ14" s="177">
        <f t="shared" si="15"/>
        <v>297.79903125000016</v>
      </c>
      <c r="BR14" s="177">
        <f t="shared" si="15"/>
        <v>297.79903125000016</v>
      </c>
      <c r="BS14" s="177">
        <f t="shared" si="15"/>
        <v>297.79903125000016</v>
      </c>
    </row>
    <row r="15" spans="1:72" s="130" customFormat="1" ht="30.6" customHeight="1">
      <c r="A15" s="30" t="str">
        <f>Допущения!A27</f>
        <v>Пельмени</v>
      </c>
      <c r="B15" s="75" t="str">
        <f>Допущения!B27</f>
        <v>руб./кг</v>
      </c>
      <c r="C15" s="177">
        <f>Допущения!$C27/(1+Допущения!$C$68)*'Анализ чувствительности'!$B$1/100</f>
        <v>241.66666666666669</v>
      </c>
      <c r="D15" s="163"/>
      <c r="E15" s="177">
        <f t="shared" si="10"/>
        <v>241.66666666666669</v>
      </c>
      <c r="F15" s="177">
        <f t="shared" si="10"/>
        <v>253.75000000000003</v>
      </c>
      <c r="G15" s="177">
        <f t="shared" si="10"/>
        <v>266.43750000000006</v>
      </c>
      <c r="H15" s="177">
        <f t="shared" si="10"/>
        <v>279.75937500000003</v>
      </c>
      <c r="I15" s="177">
        <f t="shared" si="10"/>
        <v>293.74734375000014</v>
      </c>
      <c r="J15" s="177">
        <f t="shared" si="10"/>
        <v>308.43471093750009</v>
      </c>
      <c r="K15" s="163"/>
      <c r="L15" s="177">
        <f t="shared" si="14"/>
        <v>241.66666666666669</v>
      </c>
      <c r="M15" s="177">
        <f t="shared" si="15"/>
        <v>241.66666666666669</v>
      </c>
      <c r="N15" s="177">
        <f t="shared" si="15"/>
        <v>241.66666666666669</v>
      </c>
      <c r="O15" s="177">
        <f t="shared" si="15"/>
        <v>241.66666666666669</v>
      </c>
      <c r="P15" s="177">
        <f t="shared" si="15"/>
        <v>253.75000000000003</v>
      </c>
      <c r="Q15" s="177">
        <f t="shared" si="15"/>
        <v>253.75000000000003</v>
      </c>
      <c r="R15" s="177">
        <f t="shared" si="15"/>
        <v>253.75000000000003</v>
      </c>
      <c r="S15" s="177">
        <f t="shared" si="15"/>
        <v>253.75000000000003</v>
      </c>
      <c r="T15" s="177">
        <f t="shared" si="15"/>
        <v>253.75000000000003</v>
      </c>
      <c r="U15" s="177">
        <f t="shared" si="15"/>
        <v>253.75000000000003</v>
      </c>
      <c r="V15" s="177">
        <f t="shared" si="15"/>
        <v>253.75000000000003</v>
      </c>
      <c r="W15" s="177">
        <f t="shared" si="15"/>
        <v>253.75000000000003</v>
      </c>
      <c r="X15" s="177">
        <f t="shared" si="15"/>
        <v>253.75000000000003</v>
      </c>
      <c r="Y15" s="177">
        <f t="shared" si="15"/>
        <v>253.75000000000003</v>
      </c>
      <c r="Z15" s="177">
        <f t="shared" si="15"/>
        <v>253.75000000000003</v>
      </c>
      <c r="AA15" s="177">
        <f t="shared" si="15"/>
        <v>253.75000000000003</v>
      </c>
      <c r="AB15" s="177">
        <f t="shared" si="15"/>
        <v>266.43750000000006</v>
      </c>
      <c r="AC15" s="177">
        <f t="shared" si="15"/>
        <v>266.43750000000006</v>
      </c>
      <c r="AD15" s="177">
        <f t="shared" si="15"/>
        <v>266.43750000000006</v>
      </c>
      <c r="AE15" s="177">
        <f t="shared" si="15"/>
        <v>266.43750000000006</v>
      </c>
      <c r="AF15" s="177">
        <f t="shared" si="15"/>
        <v>266.43750000000006</v>
      </c>
      <c r="AG15" s="177">
        <f t="shared" si="15"/>
        <v>266.43750000000006</v>
      </c>
      <c r="AH15" s="177">
        <f t="shared" si="15"/>
        <v>266.43750000000006</v>
      </c>
      <c r="AI15" s="177">
        <f t="shared" si="15"/>
        <v>266.43750000000006</v>
      </c>
      <c r="AJ15" s="177">
        <f t="shared" si="15"/>
        <v>266.43750000000006</v>
      </c>
      <c r="AK15" s="177">
        <f t="shared" si="15"/>
        <v>266.43750000000006</v>
      </c>
      <c r="AL15" s="177">
        <f t="shared" si="15"/>
        <v>266.43750000000006</v>
      </c>
      <c r="AM15" s="177">
        <f t="shared" si="15"/>
        <v>266.43750000000006</v>
      </c>
      <c r="AN15" s="177">
        <f t="shared" si="15"/>
        <v>279.75937500000003</v>
      </c>
      <c r="AO15" s="177">
        <f t="shared" si="15"/>
        <v>279.75937500000003</v>
      </c>
      <c r="AP15" s="177">
        <f t="shared" si="15"/>
        <v>279.75937500000003</v>
      </c>
      <c r="AQ15" s="177">
        <f t="shared" si="15"/>
        <v>279.75937500000003</v>
      </c>
      <c r="AR15" s="177">
        <f t="shared" si="15"/>
        <v>279.75937500000003</v>
      </c>
      <c r="AS15" s="177">
        <f t="shared" si="15"/>
        <v>279.75937500000003</v>
      </c>
      <c r="AT15" s="177">
        <f t="shared" si="15"/>
        <v>279.75937500000003</v>
      </c>
      <c r="AU15" s="177">
        <f t="shared" si="15"/>
        <v>279.75937500000003</v>
      </c>
      <c r="AV15" s="177">
        <f t="shared" si="15"/>
        <v>279.75937500000003</v>
      </c>
      <c r="AW15" s="177">
        <f t="shared" si="15"/>
        <v>279.75937500000003</v>
      </c>
      <c r="AX15" s="177">
        <f t="shared" si="15"/>
        <v>279.75937500000003</v>
      </c>
      <c r="AY15" s="177">
        <f t="shared" si="15"/>
        <v>279.75937500000003</v>
      </c>
      <c r="AZ15" s="177">
        <f t="shared" si="15"/>
        <v>293.74734375000008</v>
      </c>
      <c r="BA15" s="177">
        <f t="shared" si="15"/>
        <v>293.74734375000008</v>
      </c>
      <c r="BB15" s="177">
        <f t="shared" si="15"/>
        <v>293.74734375000008</v>
      </c>
      <c r="BC15" s="177">
        <f t="shared" si="15"/>
        <v>293.74734375000008</v>
      </c>
      <c r="BD15" s="177">
        <f t="shared" si="15"/>
        <v>293.74734375000008</v>
      </c>
      <c r="BE15" s="177">
        <f t="shared" si="15"/>
        <v>293.74734375000008</v>
      </c>
      <c r="BF15" s="177">
        <f t="shared" si="15"/>
        <v>293.74734375000008</v>
      </c>
      <c r="BG15" s="177">
        <f t="shared" si="15"/>
        <v>293.74734375000008</v>
      </c>
      <c r="BH15" s="177">
        <f t="shared" si="15"/>
        <v>293.74734375000008</v>
      </c>
      <c r="BI15" s="177">
        <f t="shared" si="15"/>
        <v>293.74734375000008</v>
      </c>
      <c r="BJ15" s="177">
        <f t="shared" si="15"/>
        <v>293.74734375000008</v>
      </c>
      <c r="BK15" s="177">
        <f t="shared" si="15"/>
        <v>293.74734375000008</v>
      </c>
      <c r="BL15" s="177">
        <f t="shared" si="15"/>
        <v>308.43471093750009</v>
      </c>
      <c r="BM15" s="177">
        <f t="shared" si="15"/>
        <v>308.43471093750009</v>
      </c>
      <c r="BN15" s="177">
        <f t="shared" si="15"/>
        <v>308.43471093750009</v>
      </c>
      <c r="BO15" s="177">
        <f t="shared" si="15"/>
        <v>308.43471093750009</v>
      </c>
      <c r="BP15" s="177">
        <f t="shared" si="15"/>
        <v>308.43471093750009</v>
      </c>
      <c r="BQ15" s="177">
        <f t="shared" si="15"/>
        <v>308.43471093750009</v>
      </c>
      <c r="BR15" s="177">
        <f t="shared" si="15"/>
        <v>308.43471093750009</v>
      </c>
      <c r="BS15" s="177">
        <f t="shared" si="15"/>
        <v>308.43471093750009</v>
      </c>
    </row>
    <row r="16" spans="1:72" s="130" customFormat="1" ht="30.6" customHeight="1">
      <c r="A16" s="30" t="str">
        <f>Допущения!A28</f>
        <v>-</v>
      </c>
      <c r="B16" s="75" t="str">
        <f>Допущения!B28</f>
        <v>руб./кг</v>
      </c>
      <c r="C16" s="177">
        <f>Допущения!$C28/(1+Допущения!$C$68)*'Анализ чувствительности'!$B$1/100</f>
        <v>0</v>
      </c>
      <c r="D16" s="163"/>
      <c r="E16" s="177">
        <f t="shared" si="10"/>
        <v>0</v>
      </c>
      <c r="F16" s="177">
        <f t="shared" si="10"/>
        <v>0</v>
      </c>
      <c r="G16" s="177">
        <f t="shared" si="10"/>
        <v>0</v>
      </c>
      <c r="H16" s="177">
        <f t="shared" si="10"/>
        <v>0</v>
      </c>
      <c r="I16" s="177">
        <f t="shared" si="10"/>
        <v>0</v>
      </c>
      <c r="J16" s="177">
        <f t="shared" si="10"/>
        <v>0</v>
      </c>
      <c r="K16" s="163"/>
      <c r="L16" s="177">
        <f t="shared" si="14"/>
        <v>0</v>
      </c>
      <c r="M16" s="177">
        <f t="shared" si="15"/>
        <v>0</v>
      </c>
      <c r="N16" s="177">
        <f t="shared" si="15"/>
        <v>0</v>
      </c>
      <c r="O16" s="177">
        <f t="shared" si="15"/>
        <v>0</v>
      </c>
      <c r="P16" s="177">
        <f t="shared" si="15"/>
        <v>0</v>
      </c>
      <c r="Q16" s="177">
        <f t="shared" si="15"/>
        <v>0</v>
      </c>
      <c r="R16" s="177">
        <f t="shared" si="15"/>
        <v>0</v>
      </c>
      <c r="S16" s="177">
        <f t="shared" si="15"/>
        <v>0</v>
      </c>
      <c r="T16" s="177">
        <f t="shared" si="15"/>
        <v>0</v>
      </c>
      <c r="U16" s="177">
        <f t="shared" si="15"/>
        <v>0</v>
      </c>
      <c r="V16" s="177">
        <f t="shared" si="15"/>
        <v>0</v>
      </c>
      <c r="W16" s="177">
        <f t="shared" si="15"/>
        <v>0</v>
      </c>
      <c r="X16" s="177">
        <f t="shared" si="15"/>
        <v>0</v>
      </c>
      <c r="Y16" s="177">
        <f t="shared" si="15"/>
        <v>0</v>
      </c>
      <c r="Z16" s="177">
        <f t="shared" si="15"/>
        <v>0</v>
      </c>
      <c r="AA16" s="177">
        <f t="shared" si="15"/>
        <v>0</v>
      </c>
      <c r="AB16" s="177">
        <f t="shared" si="15"/>
        <v>0</v>
      </c>
      <c r="AC16" s="177">
        <f t="shared" si="15"/>
        <v>0</v>
      </c>
      <c r="AD16" s="177">
        <f t="shared" si="15"/>
        <v>0</v>
      </c>
      <c r="AE16" s="177">
        <f t="shared" si="15"/>
        <v>0</v>
      </c>
      <c r="AF16" s="177">
        <f t="shared" si="15"/>
        <v>0</v>
      </c>
      <c r="AG16" s="177">
        <f t="shared" si="15"/>
        <v>0</v>
      </c>
      <c r="AH16" s="177">
        <f t="shared" si="15"/>
        <v>0</v>
      </c>
      <c r="AI16" s="177">
        <f t="shared" si="15"/>
        <v>0</v>
      </c>
      <c r="AJ16" s="177">
        <f t="shared" si="15"/>
        <v>0</v>
      </c>
      <c r="AK16" s="177">
        <f t="shared" si="15"/>
        <v>0</v>
      </c>
      <c r="AL16" s="177">
        <f t="shared" si="15"/>
        <v>0</v>
      </c>
      <c r="AM16" s="177">
        <f t="shared" si="15"/>
        <v>0</v>
      </c>
      <c r="AN16" s="177">
        <f t="shared" si="15"/>
        <v>0</v>
      </c>
      <c r="AO16" s="177">
        <f t="shared" si="15"/>
        <v>0</v>
      </c>
      <c r="AP16" s="177">
        <f t="shared" si="15"/>
        <v>0</v>
      </c>
      <c r="AQ16" s="177">
        <f t="shared" si="15"/>
        <v>0</v>
      </c>
      <c r="AR16" s="177">
        <f t="shared" si="15"/>
        <v>0</v>
      </c>
      <c r="AS16" s="177">
        <f t="shared" si="15"/>
        <v>0</v>
      </c>
      <c r="AT16" s="177">
        <f t="shared" si="15"/>
        <v>0</v>
      </c>
      <c r="AU16" s="177">
        <f t="shared" si="15"/>
        <v>0</v>
      </c>
      <c r="AV16" s="177">
        <f t="shared" si="15"/>
        <v>0</v>
      </c>
      <c r="AW16" s="177">
        <f t="shared" si="15"/>
        <v>0</v>
      </c>
      <c r="AX16" s="177">
        <f t="shared" si="15"/>
        <v>0</v>
      </c>
      <c r="AY16" s="177">
        <f t="shared" si="15"/>
        <v>0</v>
      </c>
      <c r="AZ16" s="177">
        <f t="shared" si="15"/>
        <v>0</v>
      </c>
      <c r="BA16" s="177">
        <f t="shared" si="15"/>
        <v>0</v>
      </c>
      <c r="BB16" s="177">
        <f t="shared" si="15"/>
        <v>0</v>
      </c>
      <c r="BC16" s="177">
        <f t="shared" si="15"/>
        <v>0</v>
      </c>
      <c r="BD16" s="177">
        <f t="shared" si="15"/>
        <v>0</v>
      </c>
      <c r="BE16" s="177">
        <f t="shared" si="15"/>
        <v>0</v>
      </c>
      <c r="BF16" s="177">
        <f t="shared" si="15"/>
        <v>0</v>
      </c>
      <c r="BG16" s="177">
        <f t="shared" si="15"/>
        <v>0</v>
      </c>
      <c r="BH16" s="177">
        <f t="shared" si="15"/>
        <v>0</v>
      </c>
      <c r="BI16" s="177">
        <f t="shared" si="15"/>
        <v>0</v>
      </c>
      <c r="BJ16" s="177">
        <f t="shared" si="15"/>
        <v>0</v>
      </c>
      <c r="BK16" s="177">
        <f t="shared" si="15"/>
        <v>0</v>
      </c>
      <c r="BL16" s="177">
        <f t="shared" si="15"/>
        <v>0</v>
      </c>
      <c r="BM16" s="177">
        <f t="shared" si="15"/>
        <v>0</v>
      </c>
      <c r="BN16" s="177">
        <f t="shared" si="15"/>
        <v>0</v>
      </c>
      <c r="BO16" s="177">
        <f t="shared" si="15"/>
        <v>0</v>
      </c>
      <c r="BP16" s="177">
        <f t="shared" si="15"/>
        <v>0</v>
      </c>
      <c r="BQ16" s="177">
        <f t="shared" si="15"/>
        <v>0</v>
      </c>
      <c r="BR16" s="177">
        <f t="shared" si="15"/>
        <v>0</v>
      </c>
      <c r="BS16" s="177">
        <f t="shared" si="15"/>
        <v>0</v>
      </c>
    </row>
    <row r="17" spans="1:71" s="130" customFormat="1" ht="30.6" customHeight="1">
      <c r="A17" s="30" t="str">
        <f>Допущения!A29</f>
        <v>-</v>
      </c>
      <c r="B17" s="75" t="str">
        <f>Допущения!B29</f>
        <v>руб./кг</v>
      </c>
      <c r="C17" s="177">
        <f>Допущения!$C29/(1+Допущения!$C$68)*'Анализ чувствительности'!$B$1/100</f>
        <v>0</v>
      </c>
      <c r="D17" s="163"/>
      <c r="E17" s="177">
        <f t="shared" si="10"/>
        <v>0</v>
      </c>
      <c r="F17" s="177">
        <f t="shared" si="10"/>
        <v>0</v>
      </c>
      <c r="G17" s="177">
        <f t="shared" si="10"/>
        <v>0</v>
      </c>
      <c r="H17" s="177">
        <f t="shared" si="10"/>
        <v>0</v>
      </c>
      <c r="I17" s="177">
        <f t="shared" si="10"/>
        <v>0</v>
      </c>
      <c r="J17" s="177">
        <f t="shared" si="10"/>
        <v>0</v>
      </c>
      <c r="K17" s="163"/>
      <c r="L17" s="177">
        <f t="shared" si="14"/>
        <v>0</v>
      </c>
      <c r="M17" s="177">
        <f t="shared" si="15"/>
        <v>0</v>
      </c>
      <c r="N17" s="177">
        <f t="shared" si="15"/>
        <v>0</v>
      </c>
      <c r="O17" s="177">
        <f t="shared" si="15"/>
        <v>0</v>
      </c>
      <c r="P17" s="177">
        <f t="shared" si="15"/>
        <v>0</v>
      </c>
      <c r="Q17" s="177">
        <f t="shared" si="15"/>
        <v>0</v>
      </c>
      <c r="R17" s="177">
        <f t="shared" si="15"/>
        <v>0</v>
      </c>
      <c r="S17" s="177">
        <f t="shared" si="15"/>
        <v>0</v>
      </c>
      <c r="T17" s="177">
        <f t="shared" si="15"/>
        <v>0</v>
      </c>
      <c r="U17" s="177">
        <f t="shared" si="15"/>
        <v>0</v>
      </c>
      <c r="V17" s="177">
        <f t="shared" si="15"/>
        <v>0</v>
      </c>
      <c r="W17" s="177">
        <f t="shared" si="15"/>
        <v>0</v>
      </c>
      <c r="X17" s="177">
        <f t="shared" si="15"/>
        <v>0</v>
      </c>
      <c r="Y17" s="177">
        <f t="shared" si="15"/>
        <v>0</v>
      </c>
      <c r="Z17" s="177">
        <f t="shared" si="15"/>
        <v>0</v>
      </c>
      <c r="AA17" s="177">
        <f t="shared" si="15"/>
        <v>0</v>
      </c>
      <c r="AB17" s="177">
        <f t="shared" si="15"/>
        <v>0</v>
      </c>
      <c r="AC17" s="177">
        <f t="shared" si="15"/>
        <v>0</v>
      </c>
      <c r="AD17" s="177">
        <f t="shared" si="15"/>
        <v>0</v>
      </c>
      <c r="AE17" s="177">
        <f t="shared" si="15"/>
        <v>0</v>
      </c>
      <c r="AF17" s="177">
        <f t="shared" si="15"/>
        <v>0</v>
      </c>
      <c r="AG17" s="177">
        <f t="shared" si="15"/>
        <v>0</v>
      </c>
      <c r="AH17" s="177">
        <f t="shared" si="15"/>
        <v>0</v>
      </c>
      <c r="AI17" s="177">
        <f t="shared" si="15"/>
        <v>0</v>
      </c>
      <c r="AJ17" s="177">
        <f t="shared" si="15"/>
        <v>0</v>
      </c>
      <c r="AK17" s="177">
        <f t="shared" si="15"/>
        <v>0</v>
      </c>
      <c r="AL17" s="177">
        <f t="shared" si="15"/>
        <v>0</v>
      </c>
      <c r="AM17" s="177">
        <f t="shared" si="15"/>
        <v>0</v>
      </c>
      <c r="AN17" s="177">
        <f t="shared" si="15"/>
        <v>0</v>
      </c>
      <c r="AO17" s="177">
        <f t="shared" si="15"/>
        <v>0</v>
      </c>
      <c r="AP17" s="177">
        <f t="shared" si="15"/>
        <v>0</v>
      </c>
      <c r="AQ17" s="177">
        <f t="shared" si="15"/>
        <v>0</v>
      </c>
      <c r="AR17" s="177">
        <f t="shared" si="15"/>
        <v>0</v>
      </c>
      <c r="AS17" s="177">
        <f t="shared" si="15"/>
        <v>0</v>
      </c>
      <c r="AT17" s="177">
        <f t="shared" si="15"/>
        <v>0</v>
      </c>
      <c r="AU17" s="177">
        <f t="shared" si="15"/>
        <v>0</v>
      </c>
      <c r="AV17" s="177">
        <f t="shared" si="15"/>
        <v>0</v>
      </c>
      <c r="AW17" s="177">
        <f t="shared" si="15"/>
        <v>0</v>
      </c>
      <c r="AX17" s="177">
        <f t="shared" si="15"/>
        <v>0</v>
      </c>
      <c r="AY17" s="177">
        <f t="shared" si="15"/>
        <v>0</v>
      </c>
      <c r="AZ17" s="177">
        <f t="shared" si="15"/>
        <v>0</v>
      </c>
      <c r="BA17" s="177">
        <f t="shared" si="15"/>
        <v>0</v>
      </c>
      <c r="BB17" s="177">
        <f t="shared" si="15"/>
        <v>0</v>
      </c>
      <c r="BC17" s="177">
        <f t="shared" si="15"/>
        <v>0</v>
      </c>
      <c r="BD17" s="177">
        <f t="shared" si="15"/>
        <v>0</v>
      </c>
      <c r="BE17" s="177">
        <f t="shared" si="15"/>
        <v>0</v>
      </c>
      <c r="BF17" s="177">
        <f t="shared" si="15"/>
        <v>0</v>
      </c>
      <c r="BG17" s="177">
        <f t="shared" si="15"/>
        <v>0</v>
      </c>
      <c r="BH17" s="177">
        <f t="shared" si="15"/>
        <v>0</v>
      </c>
      <c r="BI17" s="177">
        <f t="shared" si="15"/>
        <v>0</v>
      </c>
      <c r="BJ17" s="177">
        <f t="shared" si="15"/>
        <v>0</v>
      </c>
      <c r="BK17" s="177">
        <f t="shared" si="15"/>
        <v>0</v>
      </c>
      <c r="BL17" s="177">
        <f t="shared" si="15"/>
        <v>0</v>
      </c>
      <c r="BM17" s="177">
        <f t="shared" si="15"/>
        <v>0</v>
      </c>
      <c r="BN17" s="177">
        <f t="shared" ref="BN17:BS17" si="16">$C17*BN$21</f>
        <v>0</v>
      </c>
      <c r="BO17" s="177">
        <f t="shared" si="16"/>
        <v>0</v>
      </c>
      <c r="BP17" s="177">
        <f t="shared" si="16"/>
        <v>0</v>
      </c>
      <c r="BQ17" s="177">
        <f t="shared" si="16"/>
        <v>0</v>
      </c>
      <c r="BR17" s="177">
        <f t="shared" si="16"/>
        <v>0</v>
      </c>
      <c r="BS17" s="177">
        <f t="shared" si="16"/>
        <v>0</v>
      </c>
    </row>
    <row r="18" spans="1:71">
      <c r="A18" s="131"/>
      <c r="B18" s="132"/>
      <c r="C18" s="133"/>
      <c r="E18" s="129"/>
      <c r="F18" s="129"/>
      <c r="G18" s="129"/>
      <c r="H18" s="129"/>
      <c r="I18" s="129"/>
      <c r="J18" s="129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/>
      <c r="AN18" s="133"/>
      <c r="AO18" s="133"/>
      <c r="AP18" s="133"/>
      <c r="AQ18" s="133"/>
      <c r="AR18" s="133"/>
      <c r="AS18" s="133"/>
      <c r="AT18" s="133"/>
      <c r="AU18" s="133"/>
      <c r="AV18" s="133"/>
      <c r="AW18" s="133"/>
      <c r="AX18" s="133"/>
      <c r="AY18" s="133"/>
      <c r="AZ18" s="133"/>
      <c r="BA18" s="133"/>
      <c r="BB18" s="133"/>
      <c r="BC18" s="133"/>
      <c r="BD18" s="133"/>
      <c r="BE18" s="133"/>
      <c r="BF18" s="133"/>
      <c r="BG18" s="133"/>
      <c r="BH18" s="133"/>
      <c r="BI18" s="133"/>
      <c r="BJ18" s="133"/>
      <c r="BK18" s="133"/>
      <c r="BL18" s="133"/>
      <c r="BM18" s="133"/>
      <c r="BN18" s="133"/>
      <c r="BO18" s="133"/>
      <c r="BP18" s="133"/>
      <c r="BQ18" s="133"/>
      <c r="BR18" s="133"/>
      <c r="BS18" s="133"/>
    </row>
    <row r="19" spans="1:71">
      <c r="A19" s="124" t="s">
        <v>231</v>
      </c>
      <c r="B19" s="134"/>
      <c r="C19" s="134"/>
      <c r="D19" s="134"/>
      <c r="E19" s="104">
        <f>L2</f>
        <v>2025</v>
      </c>
      <c r="F19" s="104">
        <f t="shared" ref="F19:H19" si="17">E19+1</f>
        <v>2026</v>
      </c>
      <c r="G19" s="104">
        <f t="shared" si="17"/>
        <v>2027</v>
      </c>
      <c r="H19" s="104">
        <f t="shared" si="17"/>
        <v>2028</v>
      </c>
      <c r="I19" s="104">
        <f t="shared" ref="I19" si="18">H19+1</f>
        <v>2029</v>
      </c>
      <c r="J19" s="104">
        <f>I19+1</f>
        <v>2030</v>
      </c>
      <c r="K19" s="126"/>
      <c r="L19" s="137"/>
      <c r="M19" s="137"/>
      <c r="N19" s="137"/>
      <c r="O19" s="137"/>
      <c r="P19" s="137"/>
      <c r="Q19" s="137"/>
      <c r="R19" s="137"/>
      <c r="S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  <c r="AF19" s="137"/>
      <c r="AG19" s="137"/>
      <c r="AH19" s="137"/>
      <c r="AI19" s="137"/>
      <c r="AJ19" s="137"/>
      <c r="AK19" s="137"/>
      <c r="AL19" s="137"/>
      <c r="AM19" s="137"/>
      <c r="AN19" s="137"/>
      <c r="AO19" s="137"/>
      <c r="AP19" s="137"/>
      <c r="AQ19" s="137"/>
      <c r="AR19" s="137"/>
      <c r="AS19" s="137"/>
      <c r="AT19" s="137"/>
      <c r="AU19" s="137"/>
      <c r="AV19" s="137"/>
      <c r="AW19" s="137"/>
      <c r="AX19" s="137"/>
      <c r="AY19" s="137"/>
      <c r="AZ19" s="137"/>
      <c r="BA19" s="137"/>
      <c r="BB19" s="137"/>
      <c r="BC19" s="137"/>
      <c r="BD19" s="137"/>
      <c r="BE19" s="137"/>
      <c r="BF19" s="137"/>
      <c r="BG19" s="137"/>
      <c r="BH19" s="137"/>
      <c r="BI19" s="137"/>
      <c r="BJ19" s="137"/>
      <c r="BK19" s="137"/>
      <c r="BL19" s="137"/>
      <c r="BM19" s="137"/>
      <c r="BN19" s="137"/>
      <c r="BO19" s="137"/>
      <c r="BP19" s="137"/>
      <c r="BQ19" s="137"/>
      <c r="BR19" s="137"/>
      <c r="BS19" s="137"/>
    </row>
    <row r="20" spans="1:71">
      <c r="A20" s="135" t="s">
        <v>153</v>
      </c>
      <c r="B20" s="136"/>
      <c r="C20" s="136"/>
      <c r="D20" s="136"/>
      <c r="E20" s="158">
        <v>0.05</v>
      </c>
      <c r="F20" s="158">
        <v>0.05</v>
      </c>
      <c r="G20" s="158">
        <v>0.05</v>
      </c>
      <c r="H20" s="158">
        <v>0.05</v>
      </c>
      <c r="I20" s="158">
        <v>0.05</v>
      </c>
      <c r="J20" s="158">
        <v>0.05</v>
      </c>
      <c r="K20" s="179"/>
      <c r="L20" s="180">
        <f t="shared" ref="L20:U21" si="19">SUMIF($E$19:$J$19,L$2,$E20:$J20)</f>
        <v>0.05</v>
      </c>
      <c r="M20" s="180">
        <f t="shared" si="19"/>
        <v>0.05</v>
      </c>
      <c r="N20" s="180">
        <f t="shared" si="19"/>
        <v>0.05</v>
      </c>
      <c r="O20" s="180">
        <f t="shared" si="19"/>
        <v>0.05</v>
      </c>
      <c r="P20" s="180">
        <f t="shared" si="19"/>
        <v>0.05</v>
      </c>
      <c r="Q20" s="180">
        <f t="shared" si="19"/>
        <v>0.05</v>
      </c>
      <c r="R20" s="180">
        <f t="shared" si="19"/>
        <v>0.05</v>
      </c>
      <c r="S20" s="180">
        <f t="shared" si="19"/>
        <v>0.05</v>
      </c>
      <c r="T20" s="180">
        <f t="shared" si="19"/>
        <v>0.05</v>
      </c>
      <c r="U20" s="180">
        <f t="shared" si="19"/>
        <v>0.05</v>
      </c>
      <c r="V20" s="180">
        <f t="shared" ref="V20:AE21" si="20">SUMIF($E$19:$J$19,V$2,$E20:$J20)</f>
        <v>0.05</v>
      </c>
      <c r="W20" s="180">
        <f t="shared" si="20"/>
        <v>0.05</v>
      </c>
      <c r="X20" s="180">
        <f t="shared" si="20"/>
        <v>0.05</v>
      </c>
      <c r="Y20" s="180">
        <f t="shared" si="20"/>
        <v>0.05</v>
      </c>
      <c r="Z20" s="180">
        <f t="shared" si="20"/>
        <v>0.05</v>
      </c>
      <c r="AA20" s="180">
        <f t="shared" si="20"/>
        <v>0.05</v>
      </c>
      <c r="AB20" s="180">
        <f t="shared" si="20"/>
        <v>0.05</v>
      </c>
      <c r="AC20" s="180">
        <f t="shared" si="20"/>
        <v>0.05</v>
      </c>
      <c r="AD20" s="180">
        <f t="shared" si="20"/>
        <v>0.05</v>
      </c>
      <c r="AE20" s="180">
        <f t="shared" si="20"/>
        <v>0.05</v>
      </c>
      <c r="AF20" s="180">
        <f t="shared" ref="AF20:AO21" si="21">SUMIF($E$19:$J$19,AF$2,$E20:$J20)</f>
        <v>0.05</v>
      </c>
      <c r="AG20" s="180">
        <f t="shared" si="21"/>
        <v>0.05</v>
      </c>
      <c r="AH20" s="180">
        <f t="shared" si="21"/>
        <v>0.05</v>
      </c>
      <c r="AI20" s="180">
        <f t="shared" si="21"/>
        <v>0.05</v>
      </c>
      <c r="AJ20" s="180">
        <f t="shared" si="21"/>
        <v>0.05</v>
      </c>
      <c r="AK20" s="180">
        <f t="shared" si="21"/>
        <v>0.05</v>
      </c>
      <c r="AL20" s="180">
        <f t="shared" si="21"/>
        <v>0.05</v>
      </c>
      <c r="AM20" s="180">
        <f t="shared" si="21"/>
        <v>0.05</v>
      </c>
      <c r="AN20" s="180">
        <f t="shared" si="21"/>
        <v>0.05</v>
      </c>
      <c r="AO20" s="180">
        <f t="shared" si="21"/>
        <v>0.05</v>
      </c>
      <c r="AP20" s="180">
        <f t="shared" ref="AP20:AY21" si="22">SUMIF($E$19:$J$19,AP$2,$E20:$J20)</f>
        <v>0.05</v>
      </c>
      <c r="AQ20" s="180">
        <f t="shared" si="22"/>
        <v>0.05</v>
      </c>
      <c r="AR20" s="180">
        <f t="shared" si="22"/>
        <v>0.05</v>
      </c>
      <c r="AS20" s="180">
        <f t="shared" si="22"/>
        <v>0.05</v>
      </c>
      <c r="AT20" s="180">
        <f t="shared" si="22"/>
        <v>0.05</v>
      </c>
      <c r="AU20" s="180">
        <f t="shared" si="22"/>
        <v>0.05</v>
      </c>
      <c r="AV20" s="180">
        <f t="shared" si="22"/>
        <v>0.05</v>
      </c>
      <c r="AW20" s="180">
        <f t="shared" si="22"/>
        <v>0.05</v>
      </c>
      <c r="AX20" s="180">
        <f t="shared" si="22"/>
        <v>0.05</v>
      </c>
      <c r="AY20" s="180">
        <f t="shared" si="22"/>
        <v>0.05</v>
      </c>
      <c r="AZ20" s="180">
        <f t="shared" ref="AZ20:BI21" si="23">SUMIF($E$19:$J$19,AZ$2,$E20:$J20)</f>
        <v>0.05</v>
      </c>
      <c r="BA20" s="180">
        <f t="shared" si="23"/>
        <v>0.05</v>
      </c>
      <c r="BB20" s="180">
        <f t="shared" si="23"/>
        <v>0.05</v>
      </c>
      <c r="BC20" s="180">
        <f t="shared" si="23"/>
        <v>0.05</v>
      </c>
      <c r="BD20" s="180">
        <f t="shared" si="23"/>
        <v>0.05</v>
      </c>
      <c r="BE20" s="180">
        <f t="shared" si="23"/>
        <v>0.05</v>
      </c>
      <c r="BF20" s="180">
        <f t="shared" si="23"/>
        <v>0.05</v>
      </c>
      <c r="BG20" s="180">
        <f t="shared" si="23"/>
        <v>0.05</v>
      </c>
      <c r="BH20" s="180">
        <f t="shared" si="23"/>
        <v>0.05</v>
      </c>
      <c r="BI20" s="180">
        <f t="shared" si="23"/>
        <v>0.05</v>
      </c>
      <c r="BJ20" s="180">
        <f t="shared" ref="BJ20:BS21" si="24">SUMIF($E$19:$J$19,BJ$2,$E20:$J20)</f>
        <v>0.05</v>
      </c>
      <c r="BK20" s="180">
        <f t="shared" si="24"/>
        <v>0.05</v>
      </c>
      <c r="BL20" s="180">
        <f t="shared" si="24"/>
        <v>0.05</v>
      </c>
      <c r="BM20" s="180">
        <f t="shared" si="24"/>
        <v>0.05</v>
      </c>
      <c r="BN20" s="180">
        <f t="shared" si="24"/>
        <v>0.05</v>
      </c>
      <c r="BO20" s="180">
        <f t="shared" si="24"/>
        <v>0.05</v>
      </c>
      <c r="BP20" s="180">
        <f t="shared" si="24"/>
        <v>0.05</v>
      </c>
      <c r="BQ20" s="180">
        <f t="shared" si="24"/>
        <v>0.05</v>
      </c>
      <c r="BR20" s="180">
        <f t="shared" si="24"/>
        <v>0.05</v>
      </c>
      <c r="BS20" s="180">
        <f t="shared" si="24"/>
        <v>0.05</v>
      </c>
    </row>
    <row r="21" spans="1:71" ht="26.25">
      <c r="A21" s="135" t="s">
        <v>156</v>
      </c>
      <c r="B21" s="136"/>
      <c r="C21" s="136"/>
      <c r="D21" s="136"/>
      <c r="E21" s="181">
        <v>1</v>
      </c>
      <c r="F21" s="181">
        <f>E21*(1+E20)</f>
        <v>1.05</v>
      </c>
      <c r="G21" s="181">
        <f t="shared" ref="G21:H21" si="25">F21*(1+F20)</f>
        <v>1.1025</v>
      </c>
      <c r="H21" s="181">
        <f t="shared" si="25"/>
        <v>1.1576250000000001</v>
      </c>
      <c r="I21" s="181">
        <f t="shared" ref="I21" si="26">H21*(1+H20)</f>
        <v>1.2155062500000002</v>
      </c>
      <c r="J21" s="181">
        <f>I21*(1+I20)</f>
        <v>1.2762815625000004</v>
      </c>
      <c r="K21" s="179"/>
      <c r="L21" s="181">
        <f t="shared" si="19"/>
        <v>1</v>
      </c>
      <c r="M21" s="181">
        <f t="shared" si="19"/>
        <v>1</v>
      </c>
      <c r="N21" s="181">
        <f t="shared" si="19"/>
        <v>1</v>
      </c>
      <c r="O21" s="181">
        <f t="shared" si="19"/>
        <v>1</v>
      </c>
      <c r="P21" s="181">
        <f t="shared" si="19"/>
        <v>1.05</v>
      </c>
      <c r="Q21" s="181">
        <f t="shared" si="19"/>
        <v>1.05</v>
      </c>
      <c r="R21" s="181">
        <f t="shared" si="19"/>
        <v>1.05</v>
      </c>
      <c r="S21" s="181">
        <f t="shared" si="19"/>
        <v>1.05</v>
      </c>
      <c r="T21" s="181">
        <f t="shared" si="19"/>
        <v>1.05</v>
      </c>
      <c r="U21" s="181">
        <f t="shared" si="19"/>
        <v>1.05</v>
      </c>
      <c r="V21" s="181">
        <f t="shared" si="20"/>
        <v>1.05</v>
      </c>
      <c r="W21" s="181">
        <f t="shared" si="20"/>
        <v>1.05</v>
      </c>
      <c r="X21" s="181">
        <f t="shared" si="20"/>
        <v>1.05</v>
      </c>
      <c r="Y21" s="181">
        <f t="shared" si="20"/>
        <v>1.05</v>
      </c>
      <c r="Z21" s="181">
        <f t="shared" si="20"/>
        <v>1.05</v>
      </c>
      <c r="AA21" s="181">
        <f t="shared" si="20"/>
        <v>1.05</v>
      </c>
      <c r="AB21" s="181">
        <f t="shared" si="20"/>
        <v>1.1025</v>
      </c>
      <c r="AC21" s="181">
        <f t="shared" si="20"/>
        <v>1.1025</v>
      </c>
      <c r="AD21" s="181">
        <f t="shared" si="20"/>
        <v>1.1025</v>
      </c>
      <c r="AE21" s="181">
        <f t="shared" si="20"/>
        <v>1.1025</v>
      </c>
      <c r="AF21" s="181">
        <f t="shared" si="21"/>
        <v>1.1025</v>
      </c>
      <c r="AG21" s="181">
        <f t="shared" si="21"/>
        <v>1.1025</v>
      </c>
      <c r="AH21" s="181">
        <f t="shared" si="21"/>
        <v>1.1025</v>
      </c>
      <c r="AI21" s="181">
        <f t="shared" si="21"/>
        <v>1.1025</v>
      </c>
      <c r="AJ21" s="181">
        <f t="shared" si="21"/>
        <v>1.1025</v>
      </c>
      <c r="AK21" s="181">
        <f t="shared" si="21"/>
        <v>1.1025</v>
      </c>
      <c r="AL21" s="181">
        <f t="shared" si="21"/>
        <v>1.1025</v>
      </c>
      <c r="AM21" s="181">
        <f t="shared" si="21"/>
        <v>1.1025</v>
      </c>
      <c r="AN21" s="181">
        <f t="shared" si="21"/>
        <v>1.1576250000000001</v>
      </c>
      <c r="AO21" s="181">
        <f t="shared" si="21"/>
        <v>1.1576250000000001</v>
      </c>
      <c r="AP21" s="181">
        <f t="shared" si="22"/>
        <v>1.1576250000000001</v>
      </c>
      <c r="AQ21" s="181">
        <f t="shared" si="22"/>
        <v>1.1576250000000001</v>
      </c>
      <c r="AR21" s="181">
        <f t="shared" si="22"/>
        <v>1.1576250000000001</v>
      </c>
      <c r="AS21" s="181">
        <f t="shared" si="22"/>
        <v>1.1576250000000001</v>
      </c>
      <c r="AT21" s="181">
        <f t="shared" si="22"/>
        <v>1.1576250000000001</v>
      </c>
      <c r="AU21" s="181">
        <f t="shared" si="22"/>
        <v>1.1576250000000001</v>
      </c>
      <c r="AV21" s="181">
        <f t="shared" si="22"/>
        <v>1.1576250000000001</v>
      </c>
      <c r="AW21" s="181">
        <f t="shared" si="22"/>
        <v>1.1576250000000001</v>
      </c>
      <c r="AX21" s="181">
        <f t="shared" si="22"/>
        <v>1.1576250000000001</v>
      </c>
      <c r="AY21" s="181">
        <f t="shared" si="22"/>
        <v>1.1576250000000001</v>
      </c>
      <c r="AZ21" s="181">
        <f t="shared" si="23"/>
        <v>1.2155062500000002</v>
      </c>
      <c r="BA21" s="181">
        <f t="shared" si="23"/>
        <v>1.2155062500000002</v>
      </c>
      <c r="BB21" s="181">
        <f t="shared" si="23"/>
        <v>1.2155062500000002</v>
      </c>
      <c r="BC21" s="181">
        <f t="shared" si="23"/>
        <v>1.2155062500000002</v>
      </c>
      <c r="BD21" s="181">
        <f t="shared" si="23"/>
        <v>1.2155062500000002</v>
      </c>
      <c r="BE21" s="181">
        <f t="shared" si="23"/>
        <v>1.2155062500000002</v>
      </c>
      <c r="BF21" s="181">
        <f t="shared" si="23"/>
        <v>1.2155062500000002</v>
      </c>
      <c r="BG21" s="181">
        <f t="shared" si="23"/>
        <v>1.2155062500000002</v>
      </c>
      <c r="BH21" s="181">
        <f t="shared" si="23"/>
        <v>1.2155062500000002</v>
      </c>
      <c r="BI21" s="181">
        <f t="shared" si="23"/>
        <v>1.2155062500000002</v>
      </c>
      <c r="BJ21" s="181">
        <f t="shared" si="24"/>
        <v>1.2155062500000002</v>
      </c>
      <c r="BK21" s="181">
        <f t="shared" si="24"/>
        <v>1.2155062500000002</v>
      </c>
      <c r="BL21" s="181">
        <f t="shared" si="24"/>
        <v>1.2762815625000004</v>
      </c>
      <c r="BM21" s="181">
        <f t="shared" si="24"/>
        <v>1.2762815625000004</v>
      </c>
      <c r="BN21" s="181">
        <f t="shared" si="24"/>
        <v>1.2762815625000004</v>
      </c>
      <c r="BO21" s="181">
        <f t="shared" si="24"/>
        <v>1.2762815625000004</v>
      </c>
      <c r="BP21" s="181">
        <f t="shared" si="24"/>
        <v>1.2762815625000004</v>
      </c>
      <c r="BQ21" s="181">
        <f t="shared" si="24"/>
        <v>1.2762815625000004</v>
      </c>
      <c r="BR21" s="181">
        <f t="shared" si="24"/>
        <v>1.2762815625000004</v>
      </c>
      <c r="BS21" s="181">
        <f t="shared" si="24"/>
        <v>1.2762815625000004</v>
      </c>
    </row>
    <row r="22" spans="1:71"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138"/>
      <c r="AM22" s="138"/>
      <c r="AN22" s="138"/>
      <c r="AO22" s="138"/>
      <c r="AP22" s="138"/>
      <c r="AQ22" s="138"/>
      <c r="AR22" s="138"/>
      <c r="AS22" s="138"/>
      <c r="AT22" s="138"/>
      <c r="AU22" s="138"/>
      <c r="AV22" s="138"/>
      <c r="AW22" s="138"/>
      <c r="AX22" s="138"/>
      <c r="AY22" s="138"/>
      <c r="AZ22" s="138"/>
      <c r="BA22" s="138"/>
      <c r="BB22" s="138"/>
      <c r="BC22" s="138"/>
      <c r="BD22" s="138"/>
      <c r="BE22" s="138"/>
      <c r="BF22" s="138"/>
      <c r="BG22" s="138"/>
      <c r="BH22" s="138"/>
      <c r="BI22" s="138"/>
      <c r="BJ22" s="138"/>
      <c r="BK22" s="138"/>
      <c r="BL22" s="138"/>
      <c r="BM22" s="138"/>
      <c r="BN22" s="138"/>
      <c r="BO22" s="138"/>
      <c r="BP22" s="138"/>
      <c r="BQ22" s="138"/>
      <c r="BR22" s="138"/>
      <c r="BS22" s="138"/>
    </row>
    <row r="24" spans="1:71">
      <c r="A24" s="178" t="s">
        <v>167</v>
      </c>
      <c r="B24" s="104" t="s">
        <v>1</v>
      </c>
      <c r="C24" s="104" t="s">
        <v>164</v>
      </c>
    </row>
    <row r="25" spans="1:71" ht="14.1" customHeight="1">
      <c r="A25" s="30" t="str">
        <f>Допущения!A32</f>
        <v>Свиные полутуши</v>
      </c>
      <c r="B25" s="75" t="str">
        <f>Допущения!B32</f>
        <v>руб./ед.</v>
      </c>
      <c r="C25" s="177">
        <f>Допущения!$C32/(1+Допущения!$C$68)</f>
        <v>133.33333333333334</v>
      </c>
      <c r="D25" s="163"/>
      <c r="E25" s="177">
        <f t="shared" ref="E25:J34" si="27">AVERAGEIF($L$2:$BS$2,E$2,$L25:$BS25)</f>
        <v>133.33333333333334</v>
      </c>
      <c r="F25" s="177">
        <f t="shared" si="27"/>
        <v>140.00000000000003</v>
      </c>
      <c r="G25" s="177">
        <f t="shared" si="27"/>
        <v>147.00000000000003</v>
      </c>
      <c r="H25" s="177">
        <f t="shared" si="27"/>
        <v>154.35</v>
      </c>
      <c r="I25" s="177">
        <f t="shared" si="27"/>
        <v>162.06750000000008</v>
      </c>
      <c r="J25" s="177">
        <f t="shared" si="27"/>
        <v>170.17087500000005</v>
      </c>
      <c r="K25" s="163"/>
      <c r="L25" s="177">
        <f>$C25*L$59</f>
        <v>133.33333333333334</v>
      </c>
      <c r="M25" s="177">
        <f t="shared" ref="M25:BS29" si="28">$C25*M$59</f>
        <v>133.33333333333334</v>
      </c>
      <c r="N25" s="177">
        <f t="shared" si="28"/>
        <v>133.33333333333334</v>
      </c>
      <c r="O25" s="177">
        <f t="shared" si="28"/>
        <v>133.33333333333334</v>
      </c>
      <c r="P25" s="177">
        <f t="shared" si="28"/>
        <v>140.00000000000003</v>
      </c>
      <c r="Q25" s="177">
        <f t="shared" si="28"/>
        <v>140.00000000000003</v>
      </c>
      <c r="R25" s="177">
        <f t="shared" si="28"/>
        <v>140.00000000000003</v>
      </c>
      <c r="S25" s="177">
        <f t="shared" si="28"/>
        <v>140.00000000000003</v>
      </c>
      <c r="T25" s="177">
        <f t="shared" si="28"/>
        <v>140.00000000000003</v>
      </c>
      <c r="U25" s="177">
        <f t="shared" si="28"/>
        <v>140.00000000000003</v>
      </c>
      <c r="V25" s="177">
        <f t="shared" si="28"/>
        <v>140.00000000000003</v>
      </c>
      <c r="W25" s="177">
        <f t="shared" si="28"/>
        <v>140.00000000000003</v>
      </c>
      <c r="X25" s="177">
        <f t="shared" si="28"/>
        <v>140.00000000000003</v>
      </c>
      <c r="Y25" s="177">
        <f t="shared" si="28"/>
        <v>140.00000000000003</v>
      </c>
      <c r="Z25" s="177">
        <f t="shared" si="28"/>
        <v>140.00000000000003</v>
      </c>
      <c r="AA25" s="177">
        <f t="shared" si="28"/>
        <v>140.00000000000003</v>
      </c>
      <c r="AB25" s="177">
        <f t="shared" si="28"/>
        <v>147.00000000000003</v>
      </c>
      <c r="AC25" s="177">
        <f t="shared" si="28"/>
        <v>147.00000000000003</v>
      </c>
      <c r="AD25" s="177">
        <f t="shared" si="28"/>
        <v>147.00000000000003</v>
      </c>
      <c r="AE25" s="177">
        <f t="shared" si="28"/>
        <v>147.00000000000003</v>
      </c>
      <c r="AF25" s="177">
        <f t="shared" si="28"/>
        <v>147.00000000000003</v>
      </c>
      <c r="AG25" s="177">
        <f t="shared" si="28"/>
        <v>147.00000000000003</v>
      </c>
      <c r="AH25" s="177">
        <f t="shared" si="28"/>
        <v>147.00000000000003</v>
      </c>
      <c r="AI25" s="177">
        <f t="shared" si="28"/>
        <v>147.00000000000003</v>
      </c>
      <c r="AJ25" s="177">
        <f t="shared" si="28"/>
        <v>147.00000000000003</v>
      </c>
      <c r="AK25" s="177">
        <f t="shared" si="28"/>
        <v>147.00000000000003</v>
      </c>
      <c r="AL25" s="177">
        <f t="shared" si="28"/>
        <v>147.00000000000003</v>
      </c>
      <c r="AM25" s="177">
        <f t="shared" si="28"/>
        <v>147.00000000000003</v>
      </c>
      <c r="AN25" s="177">
        <f t="shared" si="28"/>
        <v>154.35000000000002</v>
      </c>
      <c r="AO25" s="177">
        <f t="shared" si="28"/>
        <v>154.35000000000002</v>
      </c>
      <c r="AP25" s="177">
        <f t="shared" si="28"/>
        <v>154.35000000000002</v>
      </c>
      <c r="AQ25" s="177">
        <f t="shared" si="28"/>
        <v>154.35000000000002</v>
      </c>
      <c r="AR25" s="177">
        <f t="shared" si="28"/>
        <v>154.35000000000002</v>
      </c>
      <c r="AS25" s="177">
        <f t="shared" si="28"/>
        <v>154.35000000000002</v>
      </c>
      <c r="AT25" s="177">
        <f t="shared" si="28"/>
        <v>154.35000000000002</v>
      </c>
      <c r="AU25" s="177">
        <f t="shared" si="28"/>
        <v>154.35000000000002</v>
      </c>
      <c r="AV25" s="177">
        <f t="shared" si="28"/>
        <v>154.35000000000002</v>
      </c>
      <c r="AW25" s="177">
        <f t="shared" si="28"/>
        <v>154.35000000000002</v>
      </c>
      <c r="AX25" s="177">
        <f t="shared" si="28"/>
        <v>154.35000000000002</v>
      </c>
      <c r="AY25" s="177">
        <f t="shared" si="28"/>
        <v>154.35000000000002</v>
      </c>
      <c r="AZ25" s="177">
        <f t="shared" si="28"/>
        <v>162.06750000000005</v>
      </c>
      <c r="BA25" s="177">
        <f t="shared" si="28"/>
        <v>162.06750000000005</v>
      </c>
      <c r="BB25" s="177">
        <f t="shared" si="28"/>
        <v>162.06750000000005</v>
      </c>
      <c r="BC25" s="177">
        <f t="shared" si="28"/>
        <v>162.06750000000005</v>
      </c>
      <c r="BD25" s="177">
        <f t="shared" si="28"/>
        <v>162.06750000000005</v>
      </c>
      <c r="BE25" s="177">
        <f t="shared" si="28"/>
        <v>162.06750000000005</v>
      </c>
      <c r="BF25" s="177">
        <f t="shared" si="28"/>
        <v>162.06750000000005</v>
      </c>
      <c r="BG25" s="177">
        <f t="shared" si="28"/>
        <v>162.06750000000005</v>
      </c>
      <c r="BH25" s="177">
        <f t="shared" si="28"/>
        <v>162.06750000000005</v>
      </c>
      <c r="BI25" s="177">
        <f t="shared" si="28"/>
        <v>162.06750000000005</v>
      </c>
      <c r="BJ25" s="177">
        <f t="shared" si="28"/>
        <v>162.06750000000005</v>
      </c>
      <c r="BK25" s="177">
        <f t="shared" si="28"/>
        <v>162.06750000000005</v>
      </c>
      <c r="BL25" s="177">
        <f t="shared" si="28"/>
        <v>170.17087500000005</v>
      </c>
      <c r="BM25" s="177">
        <f t="shared" si="28"/>
        <v>170.17087500000005</v>
      </c>
      <c r="BN25" s="177">
        <f t="shared" si="28"/>
        <v>170.17087500000005</v>
      </c>
      <c r="BO25" s="177">
        <f t="shared" si="28"/>
        <v>170.17087500000005</v>
      </c>
      <c r="BP25" s="177">
        <f t="shared" si="28"/>
        <v>170.17087500000005</v>
      </c>
      <c r="BQ25" s="177">
        <f t="shared" si="28"/>
        <v>170.17087500000005</v>
      </c>
      <c r="BR25" s="177">
        <f t="shared" si="28"/>
        <v>170.17087500000005</v>
      </c>
      <c r="BS25" s="177">
        <f t="shared" si="28"/>
        <v>170.17087500000005</v>
      </c>
    </row>
    <row r="26" spans="1:71" ht="15.75" customHeight="1">
      <c r="A26" s="30" t="str">
        <f>Допущения!A33</f>
        <v>Говядина четверти</v>
      </c>
      <c r="B26" s="75" t="str">
        <f>Допущения!B33</f>
        <v>руб./ед.</v>
      </c>
      <c r="C26" s="177">
        <f>Допущения!$C33/(1+Допущения!$C$68)</f>
        <v>133.33333333333334</v>
      </c>
      <c r="D26" s="163"/>
      <c r="E26" s="177">
        <f t="shared" si="27"/>
        <v>133.33333333333334</v>
      </c>
      <c r="F26" s="177">
        <f t="shared" si="27"/>
        <v>140.00000000000003</v>
      </c>
      <c r="G26" s="177">
        <f t="shared" si="27"/>
        <v>147.00000000000003</v>
      </c>
      <c r="H26" s="177">
        <f t="shared" si="27"/>
        <v>154.35</v>
      </c>
      <c r="I26" s="177">
        <f t="shared" si="27"/>
        <v>162.06750000000008</v>
      </c>
      <c r="J26" s="177">
        <f t="shared" si="27"/>
        <v>170.17087500000005</v>
      </c>
      <c r="K26" s="163"/>
      <c r="L26" s="177">
        <f>$C26*L$59</f>
        <v>133.33333333333334</v>
      </c>
      <c r="M26" s="177">
        <f t="shared" si="28"/>
        <v>133.33333333333334</v>
      </c>
      <c r="N26" s="177">
        <f t="shared" si="28"/>
        <v>133.33333333333334</v>
      </c>
      <c r="O26" s="177">
        <f t="shared" si="28"/>
        <v>133.33333333333334</v>
      </c>
      <c r="P26" s="177">
        <f t="shared" si="28"/>
        <v>140.00000000000003</v>
      </c>
      <c r="Q26" s="177">
        <f t="shared" si="28"/>
        <v>140.00000000000003</v>
      </c>
      <c r="R26" s="177">
        <f t="shared" si="28"/>
        <v>140.00000000000003</v>
      </c>
      <c r="S26" s="177">
        <f t="shared" si="28"/>
        <v>140.00000000000003</v>
      </c>
      <c r="T26" s="177">
        <f t="shared" si="28"/>
        <v>140.00000000000003</v>
      </c>
      <c r="U26" s="177">
        <f t="shared" si="28"/>
        <v>140.00000000000003</v>
      </c>
      <c r="V26" s="177">
        <f t="shared" si="28"/>
        <v>140.00000000000003</v>
      </c>
      <c r="W26" s="177">
        <f t="shared" si="28"/>
        <v>140.00000000000003</v>
      </c>
      <c r="X26" s="177">
        <f t="shared" si="28"/>
        <v>140.00000000000003</v>
      </c>
      <c r="Y26" s="177">
        <f t="shared" si="28"/>
        <v>140.00000000000003</v>
      </c>
      <c r="Z26" s="177">
        <f t="shared" si="28"/>
        <v>140.00000000000003</v>
      </c>
      <c r="AA26" s="177">
        <f t="shared" si="28"/>
        <v>140.00000000000003</v>
      </c>
      <c r="AB26" s="177">
        <f t="shared" si="28"/>
        <v>147.00000000000003</v>
      </c>
      <c r="AC26" s="177">
        <f t="shared" si="28"/>
        <v>147.00000000000003</v>
      </c>
      <c r="AD26" s="177">
        <f t="shared" si="28"/>
        <v>147.00000000000003</v>
      </c>
      <c r="AE26" s="177">
        <f t="shared" si="28"/>
        <v>147.00000000000003</v>
      </c>
      <c r="AF26" s="177">
        <f t="shared" si="28"/>
        <v>147.00000000000003</v>
      </c>
      <c r="AG26" s="177">
        <f t="shared" si="28"/>
        <v>147.00000000000003</v>
      </c>
      <c r="AH26" s="177">
        <f t="shared" si="28"/>
        <v>147.00000000000003</v>
      </c>
      <c r="AI26" s="177">
        <f t="shared" si="28"/>
        <v>147.00000000000003</v>
      </c>
      <c r="AJ26" s="177">
        <f t="shared" si="28"/>
        <v>147.00000000000003</v>
      </c>
      <c r="AK26" s="177">
        <f t="shared" si="28"/>
        <v>147.00000000000003</v>
      </c>
      <c r="AL26" s="177">
        <f t="shared" si="28"/>
        <v>147.00000000000003</v>
      </c>
      <c r="AM26" s="177">
        <f t="shared" si="28"/>
        <v>147.00000000000003</v>
      </c>
      <c r="AN26" s="177">
        <f t="shared" si="28"/>
        <v>154.35000000000002</v>
      </c>
      <c r="AO26" s="177">
        <f t="shared" si="28"/>
        <v>154.35000000000002</v>
      </c>
      <c r="AP26" s="177">
        <f t="shared" si="28"/>
        <v>154.35000000000002</v>
      </c>
      <c r="AQ26" s="177">
        <f t="shared" si="28"/>
        <v>154.35000000000002</v>
      </c>
      <c r="AR26" s="177">
        <f t="shared" si="28"/>
        <v>154.35000000000002</v>
      </c>
      <c r="AS26" s="177">
        <f t="shared" si="28"/>
        <v>154.35000000000002</v>
      </c>
      <c r="AT26" s="177">
        <f t="shared" si="28"/>
        <v>154.35000000000002</v>
      </c>
      <c r="AU26" s="177">
        <f t="shared" si="28"/>
        <v>154.35000000000002</v>
      </c>
      <c r="AV26" s="177">
        <f t="shared" si="28"/>
        <v>154.35000000000002</v>
      </c>
      <c r="AW26" s="177">
        <f t="shared" si="28"/>
        <v>154.35000000000002</v>
      </c>
      <c r="AX26" s="177">
        <f t="shared" si="28"/>
        <v>154.35000000000002</v>
      </c>
      <c r="AY26" s="177">
        <f t="shared" si="28"/>
        <v>154.35000000000002</v>
      </c>
      <c r="AZ26" s="177">
        <f t="shared" si="28"/>
        <v>162.06750000000005</v>
      </c>
      <c r="BA26" s="177">
        <f t="shared" si="28"/>
        <v>162.06750000000005</v>
      </c>
      <c r="BB26" s="177">
        <f t="shared" si="28"/>
        <v>162.06750000000005</v>
      </c>
      <c r="BC26" s="177">
        <f t="shared" si="28"/>
        <v>162.06750000000005</v>
      </c>
      <c r="BD26" s="177">
        <f t="shared" si="28"/>
        <v>162.06750000000005</v>
      </c>
      <c r="BE26" s="177">
        <f t="shared" si="28"/>
        <v>162.06750000000005</v>
      </c>
      <c r="BF26" s="177">
        <f t="shared" si="28"/>
        <v>162.06750000000005</v>
      </c>
      <c r="BG26" s="177">
        <f t="shared" si="28"/>
        <v>162.06750000000005</v>
      </c>
      <c r="BH26" s="177">
        <f t="shared" si="28"/>
        <v>162.06750000000005</v>
      </c>
      <c r="BI26" s="177">
        <f t="shared" si="28"/>
        <v>162.06750000000005</v>
      </c>
      <c r="BJ26" s="177">
        <f t="shared" si="28"/>
        <v>162.06750000000005</v>
      </c>
      <c r="BK26" s="177">
        <f t="shared" si="28"/>
        <v>162.06750000000005</v>
      </c>
      <c r="BL26" s="177">
        <f t="shared" si="28"/>
        <v>170.17087500000005</v>
      </c>
      <c r="BM26" s="177">
        <f t="shared" si="28"/>
        <v>170.17087500000005</v>
      </c>
      <c r="BN26" s="177">
        <f t="shared" si="28"/>
        <v>170.17087500000005</v>
      </c>
      <c r="BO26" s="177">
        <f t="shared" si="28"/>
        <v>170.17087500000005</v>
      </c>
      <c r="BP26" s="177">
        <f t="shared" si="28"/>
        <v>170.17087500000005</v>
      </c>
      <c r="BQ26" s="177">
        <f t="shared" si="28"/>
        <v>170.17087500000005</v>
      </c>
      <c r="BR26" s="177">
        <f t="shared" si="28"/>
        <v>170.17087500000005</v>
      </c>
      <c r="BS26" s="177">
        <f t="shared" si="28"/>
        <v>170.17087500000005</v>
      </c>
    </row>
    <row r="27" spans="1:71" ht="15.75" customHeight="1">
      <c r="A27" s="30" t="str">
        <f>Допущения!A34</f>
        <v>Тушки куриные</v>
      </c>
      <c r="B27" s="75" t="str">
        <f>Допущения!B34</f>
        <v>руб./ед.</v>
      </c>
      <c r="C27" s="177">
        <f>Допущения!$C34/(1+Допущения!$C$68)</f>
        <v>91.666666666666671</v>
      </c>
      <c r="D27" s="163"/>
      <c r="E27" s="177">
        <f t="shared" si="27"/>
        <v>91.666666666666671</v>
      </c>
      <c r="F27" s="177">
        <f t="shared" si="27"/>
        <v>96.250000000000014</v>
      </c>
      <c r="G27" s="177">
        <f t="shared" si="27"/>
        <v>101.06250000000001</v>
      </c>
      <c r="H27" s="177">
        <f t="shared" si="27"/>
        <v>106.11562500000002</v>
      </c>
      <c r="I27" s="177">
        <f t="shared" si="27"/>
        <v>111.42140625000003</v>
      </c>
      <c r="J27" s="177">
        <f t="shared" si="27"/>
        <v>116.99247656250006</v>
      </c>
      <c r="K27" s="163"/>
      <c r="L27" s="177">
        <f t="shared" ref="L27:AA34" si="29">$C27*L$59</f>
        <v>91.666666666666671</v>
      </c>
      <c r="M27" s="177">
        <f t="shared" si="29"/>
        <v>91.666666666666671</v>
      </c>
      <c r="N27" s="177">
        <f t="shared" si="29"/>
        <v>91.666666666666671</v>
      </c>
      <c r="O27" s="177">
        <f t="shared" si="29"/>
        <v>91.666666666666671</v>
      </c>
      <c r="P27" s="177">
        <f t="shared" si="29"/>
        <v>96.250000000000014</v>
      </c>
      <c r="Q27" s="177">
        <f t="shared" si="29"/>
        <v>96.250000000000014</v>
      </c>
      <c r="R27" s="177">
        <f t="shared" si="29"/>
        <v>96.250000000000014</v>
      </c>
      <c r="S27" s="177">
        <f t="shared" si="29"/>
        <v>96.250000000000014</v>
      </c>
      <c r="T27" s="177">
        <f t="shared" si="29"/>
        <v>96.250000000000014</v>
      </c>
      <c r="U27" s="177">
        <f t="shared" si="29"/>
        <v>96.250000000000014</v>
      </c>
      <c r="V27" s="177">
        <f t="shared" si="29"/>
        <v>96.250000000000014</v>
      </c>
      <c r="W27" s="177">
        <f t="shared" si="29"/>
        <v>96.250000000000014</v>
      </c>
      <c r="X27" s="177">
        <f t="shared" si="29"/>
        <v>96.250000000000014</v>
      </c>
      <c r="Y27" s="177">
        <f t="shared" si="29"/>
        <v>96.250000000000014</v>
      </c>
      <c r="Z27" s="177">
        <f t="shared" si="29"/>
        <v>96.250000000000014</v>
      </c>
      <c r="AA27" s="177">
        <f t="shared" si="29"/>
        <v>96.250000000000014</v>
      </c>
      <c r="AB27" s="177">
        <f t="shared" si="28"/>
        <v>101.06250000000001</v>
      </c>
      <c r="AC27" s="177">
        <f t="shared" si="28"/>
        <v>101.06250000000001</v>
      </c>
      <c r="AD27" s="177">
        <f t="shared" si="28"/>
        <v>101.06250000000001</v>
      </c>
      <c r="AE27" s="177">
        <f t="shared" si="28"/>
        <v>101.06250000000001</v>
      </c>
      <c r="AF27" s="177">
        <f t="shared" si="28"/>
        <v>101.06250000000001</v>
      </c>
      <c r="AG27" s="177">
        <f t="shared" si="28"/>
        <v>101.06250000000001</v>
      </c>
      <c r="AH27" s="177">
        <f t="shared" si="28"/>
        <v>101.06250000000001</v>
      </c>
      <c r="AI27" s="177">
        <f t="shared" si="28"/>
        <v>101.06250000000001</v>
      </c>
      <c r="AJ27" s="177">
        <f t="shared" si="28"/>
        <v>101.06250000000001</v>
      </c>
      <c r="AK27" s="177">
        <f t="shared" si="28"/>
        <v>101.06250000000001</v>
      </c>
      <c r="AL27" s="177">
        <f t="shared" si="28"/>
        <v>101.06250000000001</v>
      </c>
      <c r="AM27" s="177">
        <f t="shared" si="28"/>
        <v>101.06250000000001</v>
      </c>
      <c r="AN27" s="177">
        <f t="shared" si="28"/>
        <v>106.11562500000002</v>
      </c>
      <c r="AO27" s="177">
        <f t="shared" si="28"/>
        <v>106.11562500000002</v>
      </c>
      <c r="AP27" s="177">
        <f t="shared" si="28"/>
        <v>106.11562500000002</v>
      </c>
      <c r="AQ27" s="177">
        <f t="shared" si="28"/>
        <v>106.11562500000002</v>
      </c>
      <c r="AR27" s="177">
        <f t="shared" si="28"/>
        <v>106.11562500000002</v>
      </c>
      <c r="AS27" s="177">
        <f t="shared" si="28"/>
        <v>106.11562500000002</v>
      </c>
      <c r="AT27" s="177">
        <f t="shared" si="28"/>
        <v>106.11562500000002</v>
      </c>
      <c r="AU27" s="177">
        <f t="shared" si="28"/>
        <v>106.11562500000002</v>
      </c>
      <c r="AV27" s="177">
        <f t="shared" si="28"/>
        <v>106.11562500000002</v>
      </c>
      <c r="AW27" s="177">
        <f t="shared" si="28"/>
        <v>106.11562500000002</v>
      </c>
      <c r="AX27" s="177">
        <f t="shared" si="28"/>
        <v>106.11562500000002</v>
      </c>
      <c r="AY27" s="177">
        <f t="shared" si="28"/>
        <v>106.11562500000002</v>
      </c>
      <c r="AZ27" s="177">
        <f t="shared" si="28"/>
        <v>111.42140625000003</v>
      </c>
      <c r="BA27" s="177">
        <f t="shared" si="28"/>
        <v>111.42140625000003</v>
      </c>
      <c r="BB27" s="177">
        <f t="shared" si="28"/>
        <v>111.42140625000003</v>
      </c>
      <c r="BC27" s="177">
        <f t="shared" si="28"/>
        <v>111.42140625000003</v>
      </c>
      <c r="BD27" s="177">
        <f t="shared" si="28"/>
        <v>111.42140625000003</v>
      </c>
      <c r="BE27" s="177">
        <f t="shared" si="28"/>
        <v>111.42140625000003</v>
      </c>
      <c r="BF27" s="177">
        <f t="shared" si="28"/>
        <v>111.42140625000003</v>
      </c>
      <c r="BG27" s="177">
        <f t="shared" si="28"/>
        <v>111.42140625000003</v>
      </c>
      <c r="BH27" s="177">
        <f t="shared" si="28"/>
        <v>111.42140625000003</v>
      </c>
      <c r="BI27" s="177">
        <f t="shared" si="28"/>
        <v>111.42140625000003</v>
      </c>
      <c r="BJ27" s="177">
        <f t="shared" si="28"/>
        <v>111.42140625000003</v>
      </c>
      <c r="BK27" s="177">
        <f t="shared" si="28"/>
        <v>111.42140625000003</v>
      </c>
      <c r="BL27" s="177">
        <f t="shared" si="28"/>
        <v>116.99247656250004</v>
      </c>
      <c r="BM27" s="177">
        <f t="shared" si="28"/>
        <v>116.99247656250004</v>
      </c>
      <c r="BN27" s="177">
        <f t="shared" si="28"/>
        <v>116.99247656250004</v>
      </c>
      <c r="BO27" s="177">
        <f t="shared" si="28"/>
        <v>116.99247656250004</v>
      </c>
      <c r="BP27" s="177">
        <f t="shared" si="28"/>
        <v>116.99247656250004</v>
      </c>
      <c r="BQ27" s="177">
        <f t="shared" si="28"/>
        <v>116.99247656250004</v>
      </c>
      <c r="BR27" s="177">
        <f t="shared" si="28"/>
        <v>116.99247656250004</v>
      </c>
      <c r="BS27" s="177">
        <f t="shared" si="28"/>
        <v>116.99247656250004</v>
      </c>
    </row>
    <row r="28" spans="1:71" ht="15.75" customHeight="1">
      <c r="A28" s="30" t="str">
        <f>Допущения!A35</f>
        <v>Тушки индейки</v>
      </c>
      <c r="B28" s="75" t="str">
        <f>Допущения!B35</f>
        <v>руб./ед.</v>
      </c>
      <c r="C28" s="177">
        <f>Допущения!$C35/(1+Допущения!$C$68)</f>
        <v>100</v>
      </c>
      <c r="D28" s="163"/>
      <c r="E28" s="177">
        <f t="shared" si="27"/>
        <v>100</v>
      </c>
      <c r="F28" s="177">
        <f t="shared" si="27"/>
        <v>105</v>
      </c>
      <c r="G28" s="177">
        <f t="shared" si="27"/>
        <v>110.25</v>
      </c>
      <c r="H28" s="177">
        <f t="shared" si="27"/>
        <v>115.76250000000003</v>
      </c>
      <c r="I28" s="177">
        <f t="shared" si="27"/>
        <v>121.55062500000007</v>
      </c>
      <c r="J28" s="177">
        <f t="shared" si="27"/>
        <v>127.62815625000005</v>
      </c>
      <c r="K28" s="163"/>
      <c r="L28" s="177">
        <f t="shared" si="29"/>
        <v>100</v>
      </c>
      <c r="M28" s="177">
        <f t="shared" si="28"/>
        <v>100</v>
      </c>
      <c r="N28" s="177">
        <f t="shared" si="28"/>
        <v>100</v>
      </c>
      <c r="O28" s="177">
        <f t="shared" si="28"/>
        <v>100</v>
      </c>
      <c r="P28" s="177">
        <f t="shared" si="28"/>
        <v>105</v>
      </c>
      <c r="Q28" s="177">
        <f t="shared" si="28"/>
        <v>105</v>
      </c>
      <c r="R28" s="177">
        <f t="shared" si="28"/>
        <v>105</v>
      </c>
      <c r="S28" s="177">
        <f t="shared" si="28"/>
        <v>105</v>
      </c>
      <c r="T28" s="177">
        <f t="shared" si="28"/>
        <v>105</v>
      </c>
      <c r="U28" s="177">
        <f t="shared" si="28"/>
        <v>105</v>
      </c>
      <c r="V28" s="177">
        <f t="shared" si="28"/>
        <v>105</v>
      </c>
      <c r="W28" s="177">
        <f t="shared" si="28"/>
        <v>105</v>
      </c>
      <c r="X28" s="177">
        <f t="shared" si="28"/>
        <v>105</v>
      </c>
      <c r="Y28" s="177">
        <f t="shared" si="28"/>
        <v>105</v>
      </c>
      <c r="Z28" s="177">
        <f t="shared" si="28"/>
        <v>105</v>
      </c>
      <c r="AA28" s="177">
        <f t="shared" si="28"/>
        <v>105</v>
      </c>
      <c r="AB28" s="177">
        <f t="shared" si="28"/>
        <v>110.25</v>
      </c>
      <c r="AC28" s="177">
        <f t="shared" si="28"/>
        <v>110.25</v>
      </c>
      <c r="AD28" s="177">
        <f t="shared" si="28"/>
        <v>110.25</v>
      </c>
      <c r="AE28" s="177">
        <f t="shared" si="28"/>
        <v>110.25</v>
      </c>
      <c r="AF28" s="177">
        <f t="shared" si="28"/>
        <v>110.25</v>
      </c>
      <c r="AG28" s="177">
        <f t="shared" si="28"/>
        <v>110.25</v>
      </c>
      <c r="AH28" s="177">
        <f t="shared" si="28"/>
        <v>110.25</v>
      </c>
      <c r="AI28" s="177">
        <f t="shared" si="28"/>
        <v>110.25</v>
      </c>
      <c r="AJ28" s="177">
        <f t="shared" si="28"/>
        <v>110.25</v>
      </c>
      <c r="AK28" s="177">
        <f t="shared" si="28"/>
        <v>110.25</v>
      </c>
      <c r="AL28" s="177">
        <f t="shared" si="28"/>
        <v>110.25</v>
      </c>
      <c r="AM28" s="177">
        <f t="shared" si="28"/>
        <v>110.25</v>
      </c>
      <c r="AN28" s="177">
        <f t="shared" si="28"/>
        <v>115.76250000000002</v>
      </c>
      <c r="AO28" s="177">
        <f t="shared" si="28"/>
        <v>115.76250000000002</v>
      </c>
      <c r="AP28" s="177">
        <f t="shared" si="28"/>
        <v>115.76250000000002</v>
      </c>
      <c r="AQ28" s="177">
        <f t="shared" si="28"/>
        <v>115.76250000000002</v>
      </c>
      <c r="AR28" s="177">
        <f t="shared" si="28"/>
        <v>115.76250000000002</v>
      </c>
      <c r="AS28" s="177">
        <f t="shared" si="28"/>
        <v>115.76250000000002</v>
      </c>
      <c r="AT28" s="177">
        <f t="shared" si="28"/>
        <v>115.76250000000002</v>
      </c>
      <c r="AU28" s="177">
        <f t="shared" si="28"/>
        <v>115.76250000000002</v>
      </c>
      <c r="AV28" s="177">
        <f t="shared" si="28"/>
        <v>115.76250000000002</v>
      </c>
      <c r="AW28" s="177">
        <f t="shared" si="28"/>
        <v>115.76250000000002</v>
      </c>
      <c r="AX28" s="177">
        <f t="shared" si="28"/>
        <v>115.76250000000002</v>
      </c>
      <c r="AY28" s="177">
        <f t="shared" si="28"/>
        <v>115.76250000000002</v>
      </c>
      <c r="AZ28" s="177">
        <f t="shared" si="28"/>
        <v>121.55062500000003</v>
      </c>
      <c r="BA28" s="177">
        <f t="shared" si="28"/>
        <v>121.55062500000003</v>
      </c>
      <c r="BB28" s="177">
        <f t="shared" si="28"/>
        <v>121.55062500000003</v>
      </c>
      <c r="BC28" s="177">
        <f t="shared" si="28"/>
        <v>121.55062500000003</v>
      </c>
      <c r="BD28" s="177">
        <f t="shared" si="28"/>
        <v>121.55062500000003</v>
      </c>
      <c r="BE28" s="177">
        <f t="shared" si="28"/>
        <v>121.55062500000003</v>
      </c>
      <c r="BF28" s="177">
        <f t="shared" si="28"/>
        <v>121.55062500000003</v>
      </c>
      <c r="BG28" s="177">
        <f t="shared" si="28"/>
        <v>121.55062500000003</v>
      </c>
      <c r="BH28" s="177">
        <f t="shared" si="28"/>
        <v>121.55062500000003</v>
      </c>
      <c r="BI28" s="177">
        <f t="shared" si="28"/>
        <v>121.55062500000003</v>
      </c>
      <c r="BJ28" s="177">
        <f t="shared" si="28"/>
        <v>121.55062500000003</v>
      </c>
      <c r="BK28" s="177">
        <f t="shared" si="28"/>
        <v>121.55062500000003</v>
      </c>
      <c r="BL28" s="177">
        <f t="shared" si="28"/>
        <v>127.62815625000003</v>
      </c>
      <c r="BM28" s="177">
        <f t="shared" si="28"/>
        <v>127.62815625000003</v>
      </c>
      <c r="BN28" s="177">
        <f t="shared" si="28"/>
        <v>127.62815625000003</v>
      </c>
      <c r="BO28" s="177">
        <f t="shared" si="28"/>
        <v>127.62815625000003</v>
      </c>
      <c r="BP28" s="177">
        <f t="shared" si="28"/>
        <v>127.62815625000003</v>
      </c>
      <c r="BQ28" s="177">
        <f t="shared" si="28"/>
        <v>127.62815625000003</v>
      </c>
      <c r="BR28" s="177">
        <f t="shared" si="28"/>
        <v>127.62815625000003</v>
      </c>
      <c r="BS28" s="177">
        <f t="shared" si="28"/>
        <v>127.62815625000003</v>
      </c>
    </row>
    <row r="29" spans="1:71" ht="15.75" customHeight="1">
      <c r="A29" s="30" t="str">
        <f>Допущения!A36</f>
        <v>Котлеты замороженные</v>
      </c>
      <c r="B29" s="75" t="str">
        <f>Допущения!B36</f>
        <v>руб./ед.</v>
      </c>
      <c r="C29" s="177">
        <f>Допущения!$C36/(1+Допущения!$C$68)</f>
        <v>158.33333333333334</v>
      </c>
      <c r="D29" s="163"/>
      <c r="E29" s="177">
        <f t="shared" si="27"/>
        <v>158.33333333333334</v>
      </c>
      <c r="F29" s="177">
        <f t="shared" si="27"/>
        <v>166.25000000000003</v>
      </c>
      <c r="G29" s="177">
        <f t="shared" si="27"/>
        <v>174.56250000000003</v>
      </c>
      <c r="H29" s="177">
        <f t="shared" si="27"/>
        <v>183.29062500000006</v>
      </c>
      <c r="I29" s="177">
        <f t="shared" si="27"/>
        <v>192.45515625000004</v>
      </c>
      <c r="J29" s="177">
        <f t="shared" si="27"/>
        <v>202.07791406250004</v>
      </c>
      <c r="K29" s="163"/>
      <c r="L29" s="177">
        <f t="shared" si="29"/>
        <v>158.33333333333334</v>
      </c>
      <c r="M29" s="177">
        <f t="shared" si="28"/>
        <v>158.33333333333334</v>
      </c>
      <c r="N29" s="177">
        <f t="shared" si="28"/>
        <v>158.33333333333334</v>
      </c>
      <c r="O29" s="177">
        <f t="shared" si="28"/>
        <v>158.33333333333334</v>
      </c>
      <c r="P29" s="177">
        <f t="shared" si="28"/>
        <v>166.25000000000003</v>
      </c>
      <c r="Q29" s="177">
        <f t="shared" si="28"/>
        <v>166.25000000000003</v>
      </c>
      <c r="R29" s="177">
        <f t="shared" si="28"/>
        <v>166.25000000000003</v>
      </c>
      <c r="S29" s="177">
        <f t="shared" si="28"/>
        <v>166.25000000000003</v>
      </c>
      <c r="T29" s="177">
        <f t="shared" si="28"/>
        <v>166.25000000000003</v>
      </c>
      <c r="U29" s="177">
        <f t="shared" si="28"/>
        <v>166.25000000000003</v>
      </c>
      <c r="V29" s="177">
        <f t="shared" si="28"/>
        <v>166.25000000000003</v>
      </c>
      <c r="W29" s="177">
        <f t="shared" si="28"/>
        <v>166.25000000000003</v>
      </c>
      <c r="X29" s="177">
        <f t="shared" si="28"/>
        <v>166.25000000000003</v>
      </c>
      <c r="Y29" s="177">
        <f t="shared" si="28"/>
        <v>166.25000000000003</v>
      </c>
      <c r="Z29" s="177">
        <f t="shared" si="28"/>
        <v>166.25000000000003</v>
      </c>
      <c r="AA29" s="177">
        <f t="shared" si="28"/>
        <v>166.25000000000003</v>
      </c>
      <c r="AB29" s="177">
        <f t="shared" si="28"/>
        <v>174.56250000000003</v>
      </c>
      <c r="AC29" s="177">
        <f t="shared" si="28"/>
        <v>174.56250000000003</v>
      </c>
      <c r="AD29" s="177">
        <f t="shared" si="28"/>
        <v>174.56250000000003</v>
      </c>
      <c r="AE29" s="177">
        <f t="shared" si="28"/>
        <v>174.56250000000003</v>
      </c>
      <c r="AF29" s="177">
        <f t="shared" si="28"/>
        <v>174.56250000000003</v>
      </c>
      <c r="AG29" s="177">
        <f t="shared" si="28"/>
        <v>174.56250000000003</v>
      </c>
      <c r="AH29" s="177">
        <f t="shared" si="28"/>
        <v>174.56250000000003</v>
      </c>
      <c r="AI29" s="177">
        <f t="shared" si="28"/>
        <v>174.56250000000003</v>
      </c>
      <c r="AJ29" s="177">
        <f t="shared" si="28"/>
        <v>174.56250000000003</v>
      </c>
      <c r="AK29" s="177">
        <f t="shared" si="28"/>
        <v>174.56250000000003</v>
      </c>
      <c r="AL29" s="177">
        <f t="shared" si="28"/>
        <v>174.56250000000003</v>
      </c>
      <c r="AM29" s="177">
        <f t="shared" si="28"/>
        <v>174.56250000000003</v>
      </c>
      <c r="AN29" s="177">
        <f t="shared" si="28"/>
        <v>183.29062500000003</v>
      </c>
      <c r="AO29" s="177">
        <f t="shared" si="28"/>
        <v>183.29062500000003</v>
      </c>
      <c r="AP29" s="177">
        <f t="shared" si="28"/>
        <v>183.29062500000003</v>
      </c>
      <c r="AQ29" s="177">
        <f t="shared" si="28"/>
        <v>183.29062500000003</v>
      </c>
      <c r="AR29" s="177">
        <f t="shared" si="28"/>
        <v>183.29062500000003</v>
      </c>
      <c r="AS29" s="177">
        <f t="shared" si="28"/>
        <v>183.29062500000003</v>
      </c>
      <c r="AT29" s="177">
        <f t="shared" si="28"/>
        <v>183.29062500000003</v>
      </c>
      <c r="AU29" s="177">
        <f t="shared" ref="M29:BS33" si="30">$C29*AU$59</f>
        <v>183.29062500000003</v>
      </c>
      <c r="AV29" s="177">
        <f t="shared" si="30"/>
        <v>183.29062500000003</v>
      </c>
      <c r="AW29" s="177">
        <f t="shared" si="30"/>
        <v>183.29062500000003</v>
      </c>
      <c r="AX29" s="177">
        <f t="shared" si="30"/>
        <v>183.29062500000003</v>
      </c>
      <c r="AY29" s="177">
        <f t="shared" si="30"/>
        <v>183.29062500000003</v>
      </c>
      <c r="AZ29" s="177">
        <f t="shared" si="30"/>
        <v>192.45515625000004</v>
      </c>
      <c r="BA29" s="177">
        <f t="shared" si="30"/>
        <v>192.45515625000004</v>
      </c>
      <c r="BB29" s="177">
        <f t="shared" si="30"/>
        <v>192.45515625000004</v>
      </c>
      <c r="BC29" s="177">
        <f t="shared" si="30"/>
        <v>192.45515625000004</v>
      </c>
      <c r="BD29" s="177">
        <f t="shared" si="30"/>
        <v>192.45515625000004</v>
      </c>
      <c r="BE29" s="177">
        <f t="shared" si="30"/>
        <v>192.45515625000004</v>
      </c>
      <c r="BF29" s="177">
        <f t="shared" si="30"/>
        <v>192.45515625000004</v>
      </c>
      <c r="BG29" s="177">
        <f t="shared" si="30"/>
        <v>192.45515625000004</v>
      </c>
      <c r="BH29" s="177">
        <f t="shared" si="30"/>
        <v>192.45515625000004</v>
      </c>
      <c r="BI29" s="177">
        <f t="shared" si="30"/>
        <v>192.45515625000004</v>
      </c>
      <c r="BJ29" s="177">
        <f t="shared" si="30"/>
        <v>192.45515625000004</v>
      </c>
      <c r="BK29" s="177">
        <f t="shared" si="30"/>
        <v>192.45515625000004</v>
      </c>
      <c r="BL29" s="177">
        <f t="shared" si="30"/>
        <v>202.07791406250007</v>
      </c>
      <c r="BM29" s="177">
        <f t="shared" si="30"/>
        <v>202.07791406250007</v>
      </c>
      <c r="BN29" s="177">
        <f t="shared" si="30"/>
        <v>202.07791406250007</v>
      </c>
      <c r="BO29" s="177">
        <f t="shared" si="30"/>
        <v>202.07791406250007</v>
      </c>
      <c r="BP29" s="177">
        <f t="shared" si="30"/>
        <v>202.07791406250007</v>
      </c>
      <c r="BQ29" s="177">
        <f t="shared" si="30"/>
        <v>202.07791406250007</v>
      </c>
      <c r="BR29" s="177">
        <f t="shared" si="30"/>
        <v>202.07791406250007</v>
      </c>
      <c r="BS29" s="177">
        <f t="shared" si="30"/>
        <v>202.07791406250007</v>
      </c>
    </row>
    <row r="30" spans="1:71" ht="15.75" customHeight="1">
      <c r="A30" s="30" t="str">
        <f>Допущения!A37</f>
        <v>Шашлык маринованный</v>
      </c>
      <c r="B30" s="75" t="str">
        <f>Допущения!B37</f>
        <v>руб./ед.</v>
      </c>
      <c r="C30" s="177">
        <f>Допущения!$C37/(1+Допущения!$C$68)</f>
        <v>158.33333333333334</v>
      </c>
      <c r="D30" s="163"/>
      <c r="E30" s="177">
        <f t="shared" si="27"/>
        <v>158.33333333333334</v>
      </c>
      <c r="F30" s="177">
        <f t="shared" si="27"/>
        <v>166.25000000000003</v>
      </c>
      <c r="G30" s="177">
        <f t="shared" si="27"/>
        <v>174.56250000000003</v>
      </c>
      <c r="H30" s="177">
        <f t="shared" si="27"/>
        <v>183.29062500000006</v>
      </c>
      <c r="I30" s="177">
        <f t="shared" si="27"/>
        <v>192.45515625000004</v>
      </c>
      <c r="J30" s="177">
        <f t="shared" si="27"/>
        <v>202.07791406250004</v>
      </c>
      <c r="K30" s="163"/>
      <c r="L30" s="177">
        <f t="shared" si="29"/>
        <v>158.33333333333334</v>
      </c>
      <c r="M30" s="177">
        <f t="shared" si="30"/>
        <v>158.33333333333334</v>
      </c>
      <c r="N30" s="177">
        <f t="shared" si="30"/>
        <v>158.33333333333334</v>
      </c>
      <c r="O30" s="177">
        <f t="shared" si="30"/>
        <v>158.33333333333334</v>
      </c>
      <c r="P30" s="177">
        <f t="shared" si="30"/>
        <v>166.25000000000003</v>
      </c>
      <c r="Q30" s="177">
        <f t="shared" si="30"/>
        <v>166.25000000000003</v>
      </c>
      <c r="R30" s="177">
        <f t="shared" si="30"/>
        <v>166.25000000000003</v>
      </c>
      <c r="S30" s="177">
        <f t="shared" si="30"/>
        <v>166.25000000000003</v>
      </c>
      <c r="T30" s="177">
        <f t="shared" si="30"/>
        <v>166.25000000000003</v>
      </c>
      <c r="U30" s="177">
        <f t="shared" si="30"/>
        <v>166.25000000000003</v>
      </c>
      <c r="V30" s="177">
        <f t="shared" si="30"/>
        <v>166.25000000000003</v>
      </c>
      <c r="W30" s="177">
        <f t="shared" si="30"/>
        <v>166.25000000000003</v>
      </c>
      <c r="X30" s="177">
        <f t="shared" si="30"/>
        <v>166.25000000000003</v>
      </c>
      <c r="Y30" s="177">
        <f t="shared" si="30"/>
        <v>166.25000000000003</v>
      </c>
      <c r="Z30" s="177">
        <f t="shared" si="30"/>
        <v>166.25000000000003</v>
      </c>
      <c r="AA30" s="177">
        <f t="shared" si="30"/>
        <v>166.25000000000003</v>
      </c>
      <c r="AB30" s="177">
        <f t="shared" si="30"/>
        <v>174.56250000000003</v>
      </c>
      <c r="AC30" s="177">
        <f t="shared" si="30"/>
        <v>174.56250000000003</v>
      </c>
      <c r="AD30" s="177">
        <f t="shared" si="30"/>
        <v>174.56250000000003</v>
      </c>
      <c r="AE30" s="177">
        <f t="shared" si="30"/>
        <v>174.56250000000003</v>
      </c>
      <c r="AF30" s="177">
        <f t="shared" si="30"/>
        <v>174.56250000000003</v>
      </c>
      <c r="AG30" s="177">
        <f t="shared" si="30"/>
        <v>174.56250000000003</v>
      </c>
      <c r="AH30" s="177">
        <f t="shared" si="30"/>
        <v>174.56250000000003</v>
      </c>
      <c r="AI30" s="177">
        <f t="shared" si="30"/>
        <v>174.56250000000003</v>
      </c>
      <c r="AJ30" s="177">
        <f t="shared" si="30"/>
        <v>174.56250000000003</v>
      </c>
      <c r="AK30" s="177">
        <f t="shared" si="30"/>
        <v>174.56250000000003</v>
      </c>
      <c r="AL30" s="177">
        <f t="shared" si="30"/>
        <v>174.56250000000003</v>
      </c>
      <c r="AM30" s="177">
        <f t="shared" si="30"/>
        <v>174.56250000000003</v>
      </c>
      <c r="AN30" s="177">
        <f t="shared" si="30"/>
        <v>183.29062500000003</v>
      </c>
      <c r="AO30" s="177">
        <f t="shared" si="30"/>
        <v>183.29062500000003</v>
      </c>
      <c r="AP30" s="177">
        <f t="shared" si="30"/>
        <v>183.29062500000003</v>
      </c>
      <c r="AQ30" s="177">
        <f t="shared" si="30"/>
        <v>183.29062500000003</v>
      </c>
      <c r="AR30" s="177">
        <f t="shared" si="30"/>
        <v>183.29062500000003</v>
      </c>
      <c r="AS30" s="177">
        <f t="shared" si="30"/>
        <v>183.29062500000003</v>
      </c>
      <c r="AT30" s="177">
        <f t="shared" si="30"/>
        <v>183.29062500000003</v>
      </c>
      <c r="AU30" s="177">
        <f t="shared" si="30"/>
        <v>183.29062500000003</v>
      </c>
      <c r="AV30" s="177">
        <f t="shared" si="30"/>
        <v>183.29062500000003</v>
      </c>
      <c r="AW30" s="177">
        <f t="shared" si="30"/>
        <v>183.29062500000003</v>
      </c>
      <c r="AX30" s="177">
        <f t="shared" si="30"/>
        <v>183.29062500000003</v>
      </c>
      <c r="AY30" s="177">
        <f t="shared" si="30"/>
        <v>183.29062500000003</v>
      </c>
      <c r="AZ30" s="177">
        <f t="shared" si="30"/>
        <v>192.45515625000004</v>
      </c>
      <c r="BA30" s="177">
        <f t="shared" si="30"/>
        <v>192.45515625000004</v>
      </c>
      <c r="BB30" s="177">
        <f t="shared" si="30"/>
        <v>192.45515625000004</v>
      </c>
      <c r="BC30" s="177">
        <f t="shared" si="30"/>
        <v>192.45515625000004</v>
      </c>
      <c r="BD30" s="177">
        <f t="shared" si="30"/>
        <v>192.45515625000004</v>
      </c>
      <c r="BE30" s="177">
        <f t="shared" si="30"/>
        <v>192.45515625000004</v>
      </c>
      <c r="BF30" s="177">
        <f t="shared" si="30"/>
        <v>192.45515625000004</v>
      </c>
      <c r="BG30" s="177">
        <f t="shared" si="30"/>
        <v>192.45515625000004</v>
      </c>
      <c r="BH30" s="177">
        <f t="shared" si="30"/>
        <v>192.45515625000004</v>
      </c>
      <c r="BI30" s="177">
        <f t="shared" si="30"/>
        <v>192.45515625000004</v>
      </c>
      <c r="BJ30" s="177">
        <f t="shared" si="30"/>
        <v>192.45515625000004</v>
      </c>
      <c r="BK30" s="177">
        <f t="shared" si="30"/>
        <v>192.45515625000004</v>
      </c>
      <c r="BL30" s="177">
        <f t="shared" si="30"/>
        <v>202.07791406250007</v>
      </c>
      <c r="BM30" s="177">
        <f t="shared" si="30"/>
        <v>202.07791406250007</v>
      </c>
      <c r="BN30" s="177">
        <f t="shared" si="30"/>
        <v>202.07791406250007</v>
      </c>
      <c r="BO30" s="177">
        <f t="shared" si="30"/>
        <v>202.07791406250007</v>
      </c>
      <c r="BP30" s="177">
        <f t="shared" si="30"/>
        <v>202.07791406250007</v>
      </c>
      <c r="BQ30" s="177">
        <f t="shared" si="30"/>
        <v>202.07791406250007</v>
      </c>
      <c r="BR30" s="177">
        <f t="shared" si="30"/>
        <v>202.07791406250007</v>
      </c>
      <c r="BS30" s="177">
        <f t="shared" si="30"/>
        <v>202.07791406250007</v>
      </c>
    </row>
    <row r="31" spans="1:71" ht="15.75" customHeight="1">
      <c r="A31" s="30" t="str">
        <f>Допущения!A38</f>
        <v>Фрикадельки</v>
      </c>
      <c r="B31" s="75" t="str">
        <f>Допущения!B38</f>
        <v>руб./ед.</v>
      </c>
      <c r="C31" s="177">
        <f>Допущения!$C38/(1+Допущения!$C$68)</f>
        <v>141.66666666666669</v>
      </c>
      <c r="D31" s="163"/>
      <c r="E31" s="177">
        <f t="shared" si="27"/>
        <v>141.66666666666669</v>
      </c>
      <c r="F31" s="177">
        <f t="shared" si="27"/>
        <v>148.75000000000003</v>
      </c>
      <c r="G31" s="177">
        <f t="shared" si="27"/>
        <v>156.18750000000003</v>
      </c>
      <c r="H31" s="177">
        <f t="shared" si="27"/>
        <v>163.99687500000005</v>
      </c>
      <c r="I31" s="177">
        <f t="shared" si="27"/>
        <v>172.19671875000003</v>
      </c>
      <c r="J31" s="177">
        <f t="shared" si="27"/>
        <v>180.80655468750004</v>
      </c>
      <c r="K31" s="163"/>
      <c r="L31" s="177">
        <f t="shared" si="29"/>
        <v>141.66666666666669</v>
      </c>
      <c r="M31" s="177">
        <f t="shared" si="30"/>
        <v>141.66666666666669</v>
      </c>
      <c r="N31" s="177">
        <f t="shared" si="30"/>
        <v>141.66666666666669</v>
      </c>
      <c r="O31" s="177">
        <f t="shared" si="30"/>
        <v>141.66666666666669</v>
      </c>
      <c r="P31" s="177">
        <f t="shared" si="30"/>
        <v>148.75000000000003</v>
      </c>
      <c r="Q31" s="177">
        <f t="shared" si="30"/>
        <v>148.75000000000003</v>
      </c>
      <c r="R31" s="177">
        <f t="shared" si="30"/>
        <v>148.75000000000003</v>
      </c>
      <c r="S31" s="177">
        <f t="shared" si="30"/>
        <v>148.75000000000003</v>
      </c>
      <c r="T31" s="177">
        <f t="shared" si="30"/>
        <v>148.75000000000003</v>
      </c>
      <c r="U31" s="177">
        <f t="shared" si="30"/>
        <v>148.75000000000003</v>
      </c>
      <c r="V31" s="177">
        <f t="shared" si="30"/>
        <v>148.75000000000003</v>
      </c>
      <c r="W31" s="177">
        <f t="shared" si="30"/>
        <v>148.75000000000003</v>
      </c>
      <c r="X31" s="177">
        <f t="shared" si="30"/>
        <v>148.75000000000003</v>
      </c>
      <c r="Y31" s="177">
        <f t="shared" si="30"/>
        <v>148.75000000000003</v>
      </c>
      <c r="Z31" s="177">
        <f t="shared" si="30"/>
        <v>148.75000000000003</v>
      </c>
      <c r="AA31" s="177">
        <f t="shared" si="30"/>
        <v>148.75000000000003</v>
      </c>
      <c r="AB31" s="177">
        <f t="shared" si="30"/>
        <v>156.18750000000003</v>
      </c>
      <c r="AC31" s="177">
        <f t="shared" si="30"/>
        <v>156.18750000000003</v>
      </c>
      <c r="AD31" s="177">
        <f t="shared" si="30"/>
        <v>156.18750000000003</v>
      </c>
      <c r="AE31" s="177">
        <f t="shared" si="30"/>
        <v>156.18750000000003</v>
      </c>
      <c r="AF31" s="177">
        <f t="shared" si="30"/>
        <v>156.18750000000003</v>
      </c>
      <c r="AG31" s="177">
        <f t="shared" si="30"/>
        <v>156.18750000000003</v>
      </c>
      <c r="AH31" s="177">
        <f t="shared" si="30"/>
        <v>156.18750000000003</v>
      </c>
      <c r="AI31" s="177">
        <f t="shared" si="30"/>
        <v>156.18750000000003</v>
      </c>
      <c r="AJ31" s="177">
        <f t="shared" si="30"/>
        <v>156.18750000000003</v>
      </c>
      <c r="AK31" s="177">
        <f t="shared" si="30"/>
        <v>156.18750000000003</v>
      </c>
      <c r="AL31" s="177">
        <f t="shared" si="30"/>
        <v>156.18750000000003</v>
      </c>
      <c r="AM31" s="177">
        <f t="shared" si="30"/>
        <v>156.18750000000003</v>
      </c>
      <c r="AN31" s="177">
        <f t="shared" si="30"/>
        <v>163.99687500000005</v>
      </c>
      <c r="AO31" s="177">
        <f t="shared" si="30"/>
        <v>163.99687500000005</v>
      </c>
      <c r="AP31" s="177">
        <f t="shared" si="30"/>
        <v>163.99687500000005</v>
      </c>
      <c r="AQ31" s="177">
        <f t="shared" si="30"/>
        <v>163.99687500000005</v>
      </c>
      <c r="AR31" s="177">
        <f t="shared" si="30"/>
        <v>163.99687500000005</v>
      </c>
      <c r="AS31" s="177">
        <f t="shared" si="30"/>
        <v>163.99687500000005</v>
      </c>
      <c r="AT31" s="177">
        <f t="shared" si="30"/>
        <v>163.99687500000005</v>
      </c>
      <c r="AU31" s="177">
        <f t="shared" si="30"/>
        <v>163.99687500000005</v>
      </c>
      <c r="AV31" s="177">
        <f t="shared" si="30"/>
        <v>163.99687500000005</v>
      </c>
      <c r="AW31" s="177">
        <f t="shared" si="30"/>
        <v>163.99687500000005</v>
      </c>
      <c r="AX31" s="177">
        <f t="shared" si="30"/>
        <v>163.99687500000005</v>
      </c>
      <c r="AY31" s="177">
        <f t="shared" si="30"/>
        <v>163.99687500000005</v>
      </c>
      <c r="AZ31" s="177">
        <f t="shared" si="30"/>
        <v>172.19671875000006</v>
      </c>
      <c r="BA31" s="177">
        <f t="shared" si="30"/>
        <v>172.19671875000006</v>
      </c>
      <c r="BB31" s="177">
        <f t="shared" si="30"/>
        <v>172.19671875000006</v>
      </c>
      <c r="BC31" s="177">
        <f t="shared" si="30"/>
        <v>172.19671875000006</v>
      </c>
      <c r="BD31" s="177">
        <f t="shared" si="30"/>
        <v>172.19671875000006</v>
      </c>
      <c r="BE31" s="177">
        <f t="shared" si="30"/>
        <v>172.19671875000006</v>
      </c>
      <c r="BF31" s="177">
        <f t="shared" si="30"/>
        <v>172.19671875000006</v>
      </c>
      <c r="BG31" s="177">
        <f t="shared" si="30"/>
        <v>172.19671875000006</v>
      </c>
      <c r="BH31" s="177">
        <f t="shared" si="30"/>
        <v>172.19671875000006</v>
      </c>
      <c r="BI31" s="177">
        <f t="shared" si="30"/>
        <v>172.19671875000006</v>
      </c>
      <c r="BJ31" s="177">
        <f t="shared" si="30"/>
        <v>172.19671875000006</v>
      </c>
      <c r="BK31" s="177">
        <f t="shared" si="30"/>
        <v>172.19671875000006</v>
      </c>
      <c r="BL31" s="177">
        <f t="shared" si="30"/>
        <v>180.80655468750007</v>
      </c>
      <c r="BM31" s="177">
        <f t="shared" si="30"/>
        <v>180.80655468750007</v>
      </c>
      <c r="BN31" s="177">
        <f t="shared" si="30"/>
        <v>180.80655468750007</v>
      </c>
      <c r="BO31" s="177">
        <f t="shared" si="30"/>
        <v>180.80655468750007</v>
      </c>
      <c r="BP31" s="177">
        <f t="shared" si="30"/>
        <v>180.80655468750007</v>
      </c>
      <c r="BQ31" s="177">
        <f t="shared" si="30"/>
        <v>180.80655468750007</v>
      </c>
      <c r="BR31" s="177">
        <f t="shared" si="30"/>
        <v>180.80655468750007</v>
      </c>
      <c r="BS31" s="177">
        <f t="shared" si="30"/>
        <v>180.80655468750007</v>
      </c>
    </row>
    <row r="32" spans="1:71" ht="15.75" customHeight="1">
      <c r="A32" s="30" t="str">
        <f>Допущения!A39</f>
        <v>Пельмени</v>
      </c>
      <c r="B32" s="75" t="str">
        <f>Допущения!B39</f>
        <v>руб./ед.</v>
      </c>
      <c r="C32" s="177">
        <f>Допущения!$C39/(1+Допущения!$C$68)</f>
        <v>141.66666666666669</v>
      </c>
      <c r="D32" s="163"/>
      <c r="E32" s="177">
        <f t="shared" si="27"/>
        <v>141.66666666666669</v>
      </c>
      <c r="F32" s="177">
        <f t="shared" si="27"/>
        <v>148.75000000000003</v>
      </c>
      <c r="G32" s="177">
        <f t="shared" si="27"/>
        <v>156.18750000000003</v>
      </c>
      <c r="H32" s="177">
        <f t="shared" si="27"/>
        <v>163.99687500000005</v>
      </c>
      <c r="I32" s="177">
        <f t="shared" si="27"/>
        <v>172.19671875000003</v>
      </c>
      <c r="J32" s="177">
        <f t="shared" si="27"/>
        <v>180.80655468750004</v>
      </c>
      <c r="K32" s="163"/>
      <c r="L32" s="177">
        <f t="shared" si="29"/>
        <v>141.66666666666669</v>
      </c>
      <c r="M32" s="177">
        <f t="shared" si="30"/>
        <v>141.66666666666669</v>
      </c>
      <c r="N32" s="177">
        <f t="shared" si="30"/>
        <v>141.66666666666669</v>
      </c>
      <c r="O32" s="177">
        <f t="shared" si="30"/>
        <v>141.66666666666669</v>
      </c>
      <c r="P32" s="177">
        <f t="shared" si="30"/>
        <v>148.75000000000003</v>
      </c>
      <c r="Q32" s="177">
        <f t="shared" si="30"/>
        <v>148.75000000000003</v>
      </c>
      <c r="R32" s="177">
        <f t="shared" si="30"/>
        <v>148.75000000000003</v>
      </c>
      <c r="S32" s="177">
        <f t="shared" si="30"/>
        <v>148.75000000000003</v>
      </c>
      <c r="T32" s="177">
        <f t="shared" si="30"/>
        <v>148.75000000000003</v>
      </c>
      <c r="U32" s="177">
        <f t="shared" si="30"/>
        <v>148.75000000000003</v>
      </c>
      <c r="V32" s="177">
        <f t="shared" si="30"/>
        <v>148.75000000000003</v>
      </c>
      <c r="W32" s="177">
        <f t="shared" si="30"/>
        <v>148.75000000000003</v>
      </c>
      <c r="X32" s="177">
        <f t="shared" si="30"/>
        <v>148.75000000000003</v>
      </c>
      <c r="Y32" s="177">
        <f t="shared" si="30"/>
        <v>148.75000000000003</v>
      </c>
      <c r="Z32" s="177">
        <f t="shared" si="30"/>
        <v>148.75000000000003</v>
      </c>
      <c r="AA32" s="177">
        <f t="shared" si="30"/>
        <v>148.75000000000003</v>
      </c>
      <c r="AB32" s="177">
        <f t="shared" si="30"/>
        <v>156.18750000000003</v>
      </c>
      <c r="AC32" s="177">
        <f t="shared" si="30"/>
        <v>156.18750000000003</v>
      </c>
      <c r="AD32" s="177">
        <f t="shared" si="30"/>
        <v>156.18750000000003</v>
      </c>
      <c r="AE32" s="177">
        <f t="shared" si="30"/>
        <v>156.18750000000003</v>
      </c>
      <c r="AF32" s="177">
        <f t="shared" si="30"/>
        <v>156.18750000000003</v>
      </c>
      <c r="AG32" s="177">
        <f t="shared" si="30"/>
        <v>156.18750000000003</v>
      </c>
      <c r="AH32" s="177">
        <f t="shared" si="30"/>
        <v>156.18750000000003</v>
      </c>
      <c r="AI32" s="177">
        <f t="shared" si="30"/>
        <v>156.18750000000003</v>
      </c>
      <c r="AJ32" s="177">
        <f t="shared" si="30"/>
        <v>156.18750000000003</v>
      </c>
      <c r="AK32" s="177">
        <f t="shared" si="30"/>
        <v>156.18750000000003</v>
      </c>
      <c r="AL32" s="177">
        <f t="shared" si="30"/>
        <v>156.18750000000003</v>
      </c>
      <c r="AM32" s="177">
        <f t="shared" si="30"/>
        <v>156.18750000000003</v>
      </c>
      <c r="AN32" s="177">
        <f t="shared" si="30"/>
        <v>163.99687500000005</v>
      </c>
      <c r="AO32" s="177">
        <f t="shared" si="30"/>
        <v>163.99687500000005</v>
      </c>
      <c r="AP32" s="177">
        <f t="shared" si="30"/>
        <v>163.99687500000005</v>
      </c>
      <c r="AQ32" s="177">
        <f t="shared" si="30"/>
        <v>163.99687500000005</v>
      </c>
      <c r="AR32" s="177">
        <f t="shared" si="30"/>
        <v>163.99687500000005</v>
      </c>
      <c r="AS32" s="177">
        <f t="shared" si="30"/>
        <v>163.99687500000005</v>
      </c>
      <c r="AT32" s="177">
        <f t="shared" si="30"/>
        <v>163.99687500000005</v>
      </c>
      <c r="AU32" s="177">
        <f t="shared" si="30"/>
        <v>163.99687500000005</v>
      </c>
      <c r="AV32" s="177">
        <f t="shared" si="30"/>
        <v>163.99687500000005</v>
      </c>
      <c r="AW32" s="177">
        <f t="shared" si="30"/>
        <v>163.99687500000005</v>
      </c>
      <c r="AX32" s="177">
        <f t="shared" si="30"/>
        <v>163.99687500000005</v>
      </c>
      <c r="AY32" s="177">
        <f t="shared" si="30"/>
        <v>163.99687500000005</v>
      </c>
      <c r="AZ32" s="177">
        <f t="shared" si="30"/>
        <v>172.19671875000006</v>
      </c>
      <c r="BA32" s="177">
        <f t="shared" si="30"/>
        <v>172.19671875000006</v>
      </c>
      <c r="BB32" s="177">
        <f t="shared" si="30"/>
        <v>172.19671875000006</v>
      </c>
      <c r="BC32" s="177">
        <f t="shared" si="30"/>
        <v>172.19671875000006</v>
      </c>
      <c r="BD32" s="177">
        <f t="shared" si="30"/>
        <v>172.19671875000006</v>
      </c>
      <c r="BE32" s="177">
        <f t="shared" si="30"/>
        <v>172.19671875000006</v>
      </c>
      <c r="BF32" s="177">
        <f t="shared" si="30"/>
        <v>172.19671875000006</v>
      </c>
      <c r="BG32" s="177">
        <f t="shared" si="30"/>
        <v>172.19671875000006</v>
      </c>
      <c r="BH32" s="177">
        <f t="shared" si="30"/>
        <v>172.19671875000006</v>
      </c>
      <c r="BI32" s="177">
        <f t="shared" si="30"/>
        <v>172.19671875000006</v>
      </c>
      <c r="BJ32" s="177">
        <f t="shared" si="30"/>
        <v>172.19671875000006</v>
      </c>
      <c r="BK32" s="177">
        <f t="shared" si="30"/>
        <v>172.19671875000006</v>
      </c>
      <c r="BL32" s="177">
        <f t="shared" si="30"/>
        <v>180.80655468750007</v>
      </c>
      <c r="BM32" s="177">
        <f t="shared" si="30"/>
        <v>180.80655468750007</v>
      </c>
      <c r="BN32" s="177">
        <f t="shared" si="30"/>
        <v>180.80655468750007</v>
      </c>
      <c r="BO32" s="177">
        <f t="shared" si="30"/>
        <v>180.80655468750007</v>
      </c>
      <c r="BP32" s="177">
        <f t="shared" si="30"/>
        <v>180.80655468750007</v>
      </c>
      <c r="BQ32" s="177">
        <f t="shared" si="30"/>
        <v>180.80655468750007</v>
      </c>
      <c r="BR32" s="177">
        <f t="shared" si="30"/>
        <v>180.80655468750007</v>
      </c>
      <c r="BS32" s="177">
        <f t="shared" si="30"/>
        <v>180.80655468750007</v>
      </c>
    </row>
    <row r="33" spans="1:71" ht="15.75" customHeight="1">
      <c r="A33" s="30" t="str">
        <f>Допущения!A40</f>
        <v>-</v>
      </c>
      <c r="B33" s="75" t="str">
        <f>Допущения!B40</f>
        <v>руб./ед.</v>
      </c>
      <c r="C33" s="177">
        <f>Допущения!$C40/(1+Допущения!$C$68)</f>
        <v>0</v>
      </c>
      <c r="D33" s="163"/>
      <c r="E33" s="177">
        <f t="shared" si="27"/>
        <v>0</v>
      </c>
      <c r="F33" s="177">
        <f t="shared" si="27"/>
        <v>0</v>
      </c>
      <c r="G33" s="177">
        <f t="shared" si="27"/>
        <v>0</v>
      </c>
      <c r="H33" s="177">
        <f t="shared" si="27"/>
        <v>0</v>
      </c>
      <c r="I33" s="177">
        <f t="shared" si="27"/>
        <v>0</v>
      </c>
      <c r="J33" s="177">
        <f t="shared" si="27"/>
        <v>0</v>
      </c>
      <c r="K33" s="163"/>
      <c r="L33" s="177">
        <f t="shared" si="29"/>
        <v>0</v>
      </c>
      <c r="M33" s="177">
        <f t="shared" si="30"/>
        <v>0</v>
      </c>
      <c r="N33" s="177">
        <f t="shared" si="30"/>
        <v>0</v>
      </c>
      <c r="O33" s="177">
        <f t="shared" si="30"/>
        <v>0</v>
      </c>
      <c r="P33" s="177">
        <f t="shared" si="30"/>
        <v>0</v>
      </c>
      <c r="Q33" s="177">
        <f t="shared" si="30"/>
        <v>0</v>
      </c>
      <c r="R33" s="177">
        <f t="shared" si="30"/>
        <v>0</v>
      </c>
      <c r="S33" s="177">
        <f t="shared" si="30"/>
        <v>0</v>
      </c>
      <c r="T33" s="177">
        <f t="shared" si="30"/>
        <v>0</v>
      </c>
      <c r="U33" s="177">
        <f t="shared" si="30"/>
        <v>0</v>
      </c>
      <c r="V33" s="177">
        <f t="shared" si="30"/>
        <v>0</v>
      </c>
      <c r="W33" s="177">
        <f t="shared" si="30"/>
        <v>0</v>
      </c>
      <c r="X33" s="177">
        <f t="shared" si="30"/>
        <v>0</v>
      </c>
      <c r="Y33" s="177">
        <f t="shared" si="30"/>
        <v>0</v>
      </c>
      <c r="Z33" s="177">
        <f t="shared" si="30"/>
        <v>0</v>
      </c>
      <c r="AA33" s="177">
        <f t="shared" si="30"/>
        <v>0</v>
      </c>
      <c r="AB33" s="177">
        <f t="shared" si="30"/>
        <v>0</v>
      </c>
      <c r="AC33" s="177">
        <f t="shared" si="30"/>
        <v>0</v>
      </c>
      <c r="AD33" s="177">
        <f t="shared" si="30"/>
        <v>0</v>
      </c>
      <c r="AE33" s="177">
        <f t="shared" si="30"/>
        <v>0</v>
      </c>
      <c r="AF33" s="177">
        <f t="shared" si="30"/>
        <v>0</v>
      </c>
      <c r="AG33" s="177">
        <f t="shared" si="30"/>
        <v>0</v>
      </c>
      <c r="AH33" s="177">
        <f t="shared" si="30"/>
        <v>0</v>
      </c>
      <c r="AI33" s="177">
        <f t="shared" si="30"/>
        <v>0</v>
      </c>
      <c r="AJ33" s="177">
        <f t="shared" si="30"/>
        <v>0</v>
      </c>
      <c r="AK33" s="177">
        <f t="shared" si="30"/>
        <v>0</v>
      </c>
      <c r="AL33" s="177">
        <f t="shared" si="30"/>
        <v>0</v>
      </c>
      <c r="AM33" s="177">
        <f t="shared" si="30"/>
        <v>0</v>
      </c>
      <c r="AN33" s="177">
        <f t="shared" si="30"/>
        <v>0</v>
      </c>
      <c r="AO33" s="177">
        <f t="shared" si="30"/>
        <v>0</v>
      </c>
      <c r="AP33" s="177">
        <f t="shared" si="30"/>
        <v>0</v>
      </c>
      <c r="AQ33" s="177">
        <f t="shared" si="30"/>
        <v>0</v>
      </c>
      <c r="AR33" s="177">
        <f t="shared" si="30"/>
        <v>0</v>
      </c>
      <c r="AS33" s="177">
        <f t="shared" si="30"/>
        <v>0</v>
      </c>
      <c r="AT33" s="177">
        <f t="shared" si="30"/>
        <v>0</v>
      </c>
      <c r="AU33" s="177">
        <f t="shared" si="30"/>
        <v>0</v>
      </c>
      <c r="AV33" s="177">
        <f t="shared" si="30"/>
        <v>0</v>
      </c>
      <c r="AW33" s="177">
        <f t="shared" si="30"/>
        <v>0</v>
      </c>
      <c r="AX33" s="177">
        <f t="shared" si="30"/>
        <v>0</v>
      </c>
      <c r="AY33" s="177">
        <f t="shared" si="30"/>
        <v>0</v>
      </c>
      <c r="AZ33" s="177">
        <f t="shared" si="30"/>
        <v>0</v>
      </c>
      <c r="BA33" s="177">
        <f t="shared" si="30"/>
        <v>0</v>
      </c>
      <c r="BB33" s="177">
        <f t="shared" si="30"/>
        <v>0</v>
      </c>
      <c r="BC33" s="177">
        <f t="shared" si="30"/>
        <v>0</v>
      </c>
      <c r="BD33" s="177">
        <f t="shared" si="30"/>
        <v>0</v>
      </c>
      <c r="BE33" s="177">
        <f t="shared" si="30"/>
        <v>0</v>
      </c>
      <c r="BF33" s="177">
        <f t="shared" si="30"/>
        <v>0</v>
      </c>
      <c r="BG33" s="177">
        <f t="shared" si="30"/>
        <v>0</v>
      </c>
      <c r="BH33" s="177">
        <f t="shared" si="30"/>
        <v>0</v>
      </c>
      <c r="BI33" s="177">
        <f t="shared" si="30"/>
        <v>0</v>
      </c>
      <c r="BJ33" s="177">
        <f t="shared" si="30"/>
        <v>0</v>
      </c>
      <c r="BK33" s="177">
        <f t="shared" si="30"/>
        <v>0</v>
      </c>
      <c r="BL33" s="177">
        <f t="shared" si="30"/>
        <v>0</v>
      </c>
      <c r="BM33" s="177">
        <f t="shared" si="30"/>
        <v>0</v>
      </c>
      <c r="BN33" s="177">
        <f t="shared" ref="M33:BS34" si="31">$C33*BN$59</f>
        <v>0</v>
      </c>
      <c r="BO33" s="177">
        <f t="shared" si="31"/>
        <v>0</v>
      </c>
      <c r="BP33" s="177">
        <f t="shared" si="31"/>
        <v>0</v>
      </c>
      <c r="BQ33" s="177">
        <f t="shared" si="31"/>
        <v>0</v>
      </c>
      <c r="BR33" s="177">
        <f t="shared" si="31"/>
        <v>0</v>
      </c>
      <c r="BS33" s="177">
        <f t="shared" si="31"/>
        <v>0</v>
      </c>
    </row>
    <row r="34" spans="1:71" ht="15.75" customHeight="1">
      <c r="A34" s="30" t="str">
        <f>Допущения!A41</f>
        <v>-</v>
      </c>
      <c r="B34" s="75" t="str">
        <f>Допущения!B41</f>
        <v>руб./ед.</v>
      </c>
      <c r="C34" s="177">
        <f>Допущения!$C41/(1+Допущения!$C$68)</f>
        <v>0</v>
      </c>
      <c r="D34" s="163"/>
      <c r="E34" s="177">
        <f t="shared" si="27"/>
        <v>0</v>
      </c>
      <c r="F34" s="177">
        <f t="shared" si="27"/>
        <v>0</v>
      </c>
      <c r="G34" s="177">
        <f t="shared" si="27"/>
        <v>0</v>
      </c>
      <c r="H34" s="177">
        <f t="shared" si="27"/>
        <v>0</v>
      </c>
      <c r="I34" s="177">
        <f t="shared" si="27"/>
        <v>0</v>
      </c>
      <c r="J34" s="177">
        <f t="shared" si="27"/>
        <v>0</v>
      </c>
      <c r="K34" s="163"/>
      <c r="L34" s="177">
        <f t="shared" si="29"/>
        <v>0</v>
      </c>
      <c r="M34" s="177">
        <f t="shared" si="31"/>
        <v>0</v>
      </c>
      <c r="N34" s="177">
        <f t="shared" si="31"/>
        <v>0</v>
      </c>
      <c r="O34" s="177">
        <f t="shared" si="31"/>
        <v>0</v>
      </c>
      <c r="P34" s="177">
        <f t="shared" si="31"/>
        <v>0</v>
      </c>
      <c r="Q34" s="177">
        <f t="shared" si="31"/>
        <v>0</v>
      </c>
      <c r="R34" s="177">
        <f t="shared" si="31"/>
        <v>0</v>
      </c>
      <c r="S34" s="177">
        <f t="shared" si="31"/>
        <v>0</v>
      </c>
      <c r="T34" s="177">
        <f t="shared" si="31"/>
        <v>0</v>
      </c>
      <c r="U34" s="177">
        <f t="shared" si="31"/>
        <v>0</v>
      </c>
      <c r="V34" s="177">
        <f t="shared" si="31"/>
        <v>0</v>
      </c>
      <c r="W34" s="177">
        <f t="shared" si="31"/>
        <v>0</v>
      </c>
      <c r="X34" s="177">
        <f t="shared" si="31"/>
        <v>0</v>
      </c>
      <c r="Y34" s="177">
        <f t="shared" si="31"/>
        <v>0</v>
      </c>
      <c r="Z34" s="177">
        <f t="shared" si="31"/>
        <v>0</v>
      </c>
      <c r="AA34" s="177">
        <f t="shared" si="31"/>
        <v>0</v>
      </c>
      <c r="AB34" s="177">
        <f t="shared" si="31"/>
        <v>0</v>
      </c>
      <c r="AC34" s="177">
        <f t="shared" si="31"/>
        <v>0</v>
      </c>
      <c r="AD34" s="177">
        <f t="shared" si="31"/>
        <v>0</v>
      </c>
      <c r="AE34" s="177">
        <f t="shared" si="31"/>
        <v>0</v>
      </c>
      <c r="AF34" s="177">
        <f t="shared" si="31"/>
        <v>0</v>
      </c>
      <c r="AG34" s="177">
        <f t="shared" si="31"/>
        <v>0</v>
      </c>
      <c r="AH34" s="177">
        <f t="shared" si="31"/>
        <v>0</v>
      </c>
      <c r="AI34" s="177">
        <f t="shared" si="31"/>
        <v>0</v>
      </c>
      <c r="AJ34" s="177">
        <f t="shared" si="31"/>
        <v>0</v>
      </c>
      <c r="AK34" s="177">
        <f t="shared" si="31"/>
        <v>0</v>
      </c>
      <c r="AL34" s="177">
        <f t="shared" si="31"/>
        <v>0</v>
      </c>
      <c r="AM34" s="177">
        <f t="shared" si="31"/>
        <v>0</v>
      </c>
      <c r="AN34" s="177">
        <f t="shared" si="31"/>
        <v>0</v>
      </c>
      <c r="AO34" s="177">
        <f t="shared" si="31"/>
        <v>0</v>
      </c>
      <c r="AP34" s="177">
        <f t="shared" si="31"/>
        <v>0</v>
      </c>
      <c r="AQ34" s="177">
        <f t="shared" si="31"/>
        <v>0</v>
      </c>
      <c r="AR34" s="177">
        <f t="shared" si="31"/>
        <v>0</v>
      </c>
      <c r="AS34" s="177">
        <f t="shared" si="31"/>
        <v>0</v>
      </c>
      <c r="AT34" s="177">
        <f t="shared" si="31"/>
        <v>0</v>
      </c>
      <c r="AU34" s="177">
        <f t="shared" si="31"/>
        <v>0</v>
      </c>
      <c r="AV34" s="177">
        <f t="shared" si="31"/>
        <v>0</v>
      </c>
      <c r="AW34" s="177">
        <f t="shared" si="31"/>
        <v>0</v>
      </c>
      <c r="AX34" s="177">
        <f t="shared" si="31"/>
        <v>0</v>
      </c>
      <c r="AY34" s="177">
        <f t="shared" si="31"/>
        <v>0</v>
      </c>
      <c r="AZ34" s="177">
        <f t="shared" si="31"/>
        <v>0</v>
      </c>
      <c r="BA34" s="177">
        <f t="shared" si="31"/>
        <v>0</v>
      </c>
      <c r="BB34" s="177">
        <f t="shared" si="31"/>
        <v>0</v>
      </c>
      <c r="BC34" s="177">
        <f t="shared" si="31"/>
        <v>0</v>
      </c>
      <c r="BD34" s="177">
        <f t="shared" si="31"/>
        <v>0</v>
      </c>
      <c r="BE34" s="177">
        <f t="shared" si="31"/>
        <v>0</v>
      </c>
      <c r="BF34" s="177">
        <f t="shared" si="31"/>
        <v>0</v>
      </c>
      <c r="BG34" s="177">
        <f t="shared" si="31"/>
        <v>0</v>
      </c>
      <c r="BH34" s="177">
        <f t="shared" si="31"/>
        <v>0</v>
      </c>
      <c r="BI34" s="177">
        <f t="shared" si="31"/>
        <v>0</v>
      </c>
      <c r="BJ34" s="177">
        <f t="shared" si="31"/>
        <v>0</v>
      </c>
      <c r="BK34" s="177">
        <f t="shared" si="31"/>
        <v>0</v>
      </c>
      <c r="BL34" s="177">
        <f t="shared" si="31"/>
        <v>0</v>
      </c>
      <c r="BM34" s="177">
        <f t="shared" si="31"/>
        <v>0</v>
      </c>
      <c r="BN34" s="177">
        <f t="shared" si="31"/>
        <v>0</v>
      </c>
      <c r="BO34" s="177">
        <f t="shared" si="31"/>
        <v>0</v>
      </c>
      <c r="BP34" s="177">
        <f t="shared" si="31"/>
        <v>0</v>
      </c>
      <c r="BQ34" s="177">
        <f t="shared" si="31"/>
        <v>0</v>
      </c>
      <c r="BR34" s="177">
        <f t="shared" si="31"/>
        <v>0</v>
      </c>
      <c r="BS34" s="177">
        <f t="shared" si="31"/>
        <v>0</v>
      </c>
    </row>
    <row r="35" spans="1:71">
      <c r="A35" s="215" t="str">
        <f>Допущения!A44</f>
        <v>Производственные</v>
      </c>
      <c r="B35" s="75"/>
      <c r="C35" s="177"/>
      <c r="D35" s="163"/>
      <c r="E35" s="177"/>
      <c r="F35" s="177"/>
      <c r="G35" s="177"/>
      <c r="H35" s="177"/>
      <c r="I35" s="177"/>
      <c r="J35" s="177"/>
      <c r="K35" s="163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  <c r="AK35" s="177"/>
      <c r="AL35" s="177"/>
      <c r="AM35" s="177"/>
      <c r="AN35" s="177"/>
      <c r="AO35" s="177"/>
      <c r="AP35" s="177"/>
      <c r="AQ35" s="177"/>
      <c r="AR35" s="177"/>
      <c r="AS35" s="177"/>
      <c r="AT35" s="177"/>
      <c r="AU35" s="177"/>
      <c r="AV35" s="177"/>
      <c r="AW35" s="177"/>
      <c r="AX35" s="177"/>
      <c r="AY35" s="177"/>
      <c r="AZ35" s="177"/>
      <c r="BA35" s="177"/>
      <c r="BB35" s="177"/>
      <c r="BC35" s="177"/>
      <c r="BD35" s="177"/>
      <c r="BE35" s="177"/>
      <c r="BF35" s="177"/>
      <c r="BG35" s="177"/>
      <c r="BH35" s="177"/>
      <c r="BI35" s="177"/>
      <c r="BJ35" s="177"/>
      <c r="BK35" s="177"/>
      <c r="BL35" s="177"/>
      <c r="BM35" s="177"/>
      <c r="BN35" s="177"/>
      <c r="BO35" s="177"/>
      <c r="BP35" s="177"/>
      <c r="BQ35" s="177"/>
      <c r="BR35" s="177"/>
      <c r="BS35" s="177"/>
    </row>
    <row r="36" spans="1:71">
      <c r="A36" s="30" t="str">
        <f>Допущения!A45</f>
        <v>Э/э</v>
      </c>
      <c r="B36" s="75" t="str">
        <f>Допущения!B45</f>
        <v>руб./мес.</v>
      </c>
      <c r="C36" s="177">
        <f>Допущения!$C45/(1+Допущения!$C$68)</f>
        <v>924000</v>
      </c>
      <c r="D36" s="163"/>
      <c r="E36" s="177">
        <f t="shared" ref="E36:J42" si="32">AVERAGEIF($L$2:$BS$2,E$2,$L36:$BS36)</f>
        <v>924000</v>
      </c>
      <c r="F36" s="177">
        <f t="shared" si="32"/>
        <v>970200</v>
      </c>
      <c r="G36" s="177">
        <f t="shared" si="32"/>
        <v>1018710</v>
      </c>
      <c r="H36" s="177">
        <f t="shared" si="32"/>
        <v>1069645.5000000002</v>
      </c>
      <c r="I36" s="177">
        <f t="shared" si="32"/>
        <v>1123127.7750000001</v>
      </c>
      <c r="J36" s="177">
        <f t="shared" si="32"/>
        <v>1179284.1637500003</v>
      </c>
      <c r="K36" s="163"/>
      <c r="L36" s="177">
        <f t="shared" ref="L36:U42" si="33">$C36*L$59</f>
        <v>924000</v>
      </c>
      <c r="M36" s="177">
        <f t="shared" si="33"/>
        <v>924000</v>
      </c>
      <c r="N36" s="177">
        <f t="shared" si="33"/>
        <v>924000</v>
      </c>
      <c r="O36" s="177">
        <f t="shared" si="33"/>
        <v>924000</v>
      </c>
      <c r="P36" s="177">
        <f t="shared" si="33"/>
        <v>970200</v>
      </c>
      <c r="Q36" s="177">
        <f t="shared" si="33"/>
        <v>970200</v>
      </c>
      <c r="R36" s="177">
        <f t="shared" si="33"/>
        <v>970200</v>
      </c>
      <c r="S36" s="177">
        <f t="shared" si="33"/>
        <v>970200</v>
      </c>
      <c r="T36" s="177">
        <f t="shared" si="33"/>
        <v>970200</v>
      </c>
      <c r="U36" s="177">
        <f t="shared" si="33"/>
        <v>970200</v>
      </c>
      <c r="V36" s="177">
        <f t="shared" ref="V36:AE42" si="34">$C36*V$59</f>
        <v>970200</v>
      </c>
      <c r="W36" s="177">
        <f t="shared" si="34"/>
        <v>970200</v>
      </c>
      <c r="X36" s="177">
        <f t="shared" si="34"/>
        <v>970200</v>
      </c>
      <c r="Y36" s="177">
        <f t="shared" si="34"/>
        <v>970200</v>
      </c>
      <c r="Z36" s="177">
        <f t="shared" si="34"/>
        <v>970200</v>
      </c>
      <c r="AA36" s="177">
        <f t="shared" si="34"/>
        <v>970200</v>
      </c>
      <c r="AB36" s="177">
        <f t="shared" si="34"/>
        <v>1018710</v>
      </c>
      <c r="AC36" s="177">
        <f t="shared" si="34"/>
        <v>1018710</v>
      </c>
      <c r="AD36" s="177">
        <f t="shared" si="34"/>
        <v>1018710</v>
      </c>
      <c r="AE36" s="177">
        <f t="shared" si="34"/>
        <v>1018710</v>
      </c>
      <c r="AF36" s="177">
        <f t="shared" ref="AF36:AO42" si="35">$C36*AF$59</f>
        <v>1018710</v>
      </c>
      <c r="AG36" s="177">
        <f t="shared" si="35"/>
        <v>1018710</v>
      </c>
      <c r="AH36" s="177">
        <f t="shared" si="35"/>
        <v>1018710</v>
      </c>
      <c r="AI36" s="177">
        <f t="shared" si="35"/>
        <v>1018710</v>
      </c>
      <c r="AJ36" s="177">
        <f t="shared" si="35"/>
        <v>1018710</v>
      </c>
      <c r="AK36" s="177">
        <f t="shared" si="35"/>
        <v>1018710</v>
      </c>
      <c r="AL36" s="177">
        <f t="shared" si="35"/>
        <v>1018710</v>
      </c>
      <c r="AM36" s="177">
        <f t="shared" si="35"/>
        <v>1018710</v>
      </c>
      <c r="AN36" s="177">
        <f t="shared" si="35"/>
        <v>1069645.5000000002</v>
      </c>
      <c r="AO36" s="177">
        <f t="shared" si="35"/>
        <v>1069645.5000000002</v>
      </c>
      <c r="AP36" s="177">
        <f t="shared" ref="AP36:AY42" si="36">$C36*AP$59</f>
        <v>1069645.5000000002</v>
      </c>
      <c r="AQ36" s="177">
        <f t="shared" si="36"/>
        <v>1069645.5000000002</v>
      </c>
      <c r="AR36" s="177">
        <f t="shared" si="36"/>
        <v>1069645.5000000002</v>
      </c>
      <c r="AS36" s="177">
        <f t="shared" si="36"/>
        <v>1069645.5000000002</v>
      </c>
      <c r="AT36" s="177">
        <f t="shared" si="36"/>
        <v>1069645.5000000002</v>
      </c>
      <c r="AU36" s="177">
        <f t="shared" si="36"/>
        <v>1069645.5000000002</v>
      </c>
      <c r="AV36" s="177">
        <f t="shared" si="36"/>
        <v>1069645.5000000002</v>
      </c>
      <c r="AW36" s="177">
        <f t="shared" si="36"/>
        <v>1069645.5000000002</v>
      </c>
      <c r="AX36" s="177">
        <f t="shared" si="36"/>
        <v>1069645.5000000002</v>
      </c>
      <c r="AY36" s="177">
        <f t="shared" si="36"/>
        <v>1069645.5000000002</v>
      </c>
      <c r="AZ36" s="177">
        <f t="shared" ref="AZ36:BI42" si="37">$C36*AZ$59</f>
        <v>1123127.7750000001</v>
      </c>
      <c r="BA36" s="177">
        <f t="shared" si="37"/>
        <v>1123127.7750000001</v>
      </c>
      <c r="BB36" s="177">
        <f t="shared" si="37"/>
        <v>1123127.7750000001</v>
      </c>
      <c r="BC36" s="177">
        <f t="shared" si="37"/>
        <v>1123127.7750000001</v>
      </c>
      <c r="BD36" s="177">
        <f t="shared" si="37"/>
        <v>1123127.7750000001</v>
      </c>
      <c r="BE36" s="177">
        <f t="shared" si="37"/>
        <v>1123127.7750000001</v>
      </c>
      <c r="BF36" s="177">
        <f t="shared" si="37"/>
        <v>1123127.7750000001</v>
      </c>
      <c r="BG36" s="177">
        <f t="shared" si="37"/>
        <v>1123127.7750000001</v>
      </c>
      <c r="BH36" s="177">
        <f t="shared" si="37"/>
        <v>1123127.7750000001</v>
      </c>
      <c r="BI36" s="177">
        <f t="shared" si="37"/>
        <v>1123127.7750000001</v>
      </c>
      <c r="BJ36" s="177">
        <f t="shared" ref="BJ36:BS42" si="38">$C36*BJ$59</f>
        <v>1123127.7750000001</v>
      </c>
      <c r="BK36" s="177">
        <f t="shared" si="38"/>
        <v>1123127.7750000001</v>
      </c>
      <c r="BL36" s="177">
        <f t="shared" si="38"/>
        <v>1179284.1637500003</v>
      </c>
      <c r="BM36" s="177">
        <f t="shared" si="38"/>
        <v>1179284.1637500003</v>
      </c>
      <c r="BN36" s="177">
        <f t="shared" si="38"/>
        <v>1179284.1637500003</v>
      </c>
      <c r="BO36" s="177">
        <f t="shared" si="38"/>
        <v>1179284.1637500003</v>
      </c>
      <c r="BP36" s="177">
        <f t="shared" si="38"/>
        <v>1179284.1637500003</v>
      </c>
      <c r="BQ36" s="177">
        <f t="shared" si="38"/>
        <v>1179284.1637500003</v>
      </c>
      <c r="BR36" s="177">
        <f t="shared" si="38"/>
        <v>1179284.1637500003</v>
      </c>
      <c r="BS36" s="177">
        <f t="shared" si="38"/>
        <v>1179284.1637500003</v>
      </c>
    </row>
    <row r="37" spans="1:71" ht="24" customHeight="1">
      <c r="A37" s="30" t="str">
        <f>Допущения!A46</f>
        <v>Коммунальные платежи</v>
      </c>
      <c r="B37" s="75" t="str">
        <f>Допущения!B46</f>
        <v>руб./мес.</v>
      </c>
      <c r="C37" s="177">
        <f>Допущения!$C46/(1+Допущения!$C$68)</f>
        <v>50000</v>
      </c>
      <c r="D37" s="163"/>
      <c r="E37" s="177">
        <f t="shared" si="32"/>
        <v>50000</v>
      </c>
      <c r="F37" s="177">
        <f t="shared" si="32"/>
        <v>52500</v>
      </c>
      <c r="G37" s="177">
        <f t="shared" si="32"/>
        <v>55125</v>
      </c>
      <c r="H37" s="177">
        <f t="shared" si="32"/>
        <v>57881.250000000007</v>
      </c>
      <c r="I37" s="177">
        <f t="shared" si="32"/>
        <v>60775.312500000007</v>
      </c>
      <c r="J37" s="177">
        <f t="shared" si="32"/>
        <v>63814.078125000007</v>
      </c>
      <c r="K37" s="163"/>
      <c r="L37" s="177">
        <f t="shared" si="33"/>
        <v>50000</v>
      </c>
      <c r="M37" s="177">
        <f t="shared" si="33"/>
        <v>50000</v>
      </c>
      <c r="N37" s="177">
        <f t="shared" si="33"/>
        <v>50000</v>
      </c>
      <c r="O37" s="177">
        <f t="shared" si="33"/>
        <v>50000</v>
      </c>
      <c r="P37" s="177">
        <f t="shared" si="33"/>
        <v>52500</v>
      </c>
      <c r="Q37" s="177">
        <f t="shared" si="33"/>
        <v>52500</v>
      </c>
      <c r="R37" s="177">
        <f t="shared" si="33"/>
        <v>52500</v>
      </c>
      <c r="S37" s="177">
        <f t="shared" si="33"/>
        <v>52500</v>
      </c>
      <c r="T37" s="177">
        <f t="shared" si="33"/>
        <v>52500</v>
      </c>
      <c r="U37" s="177">
        <f t="shared" si="33"/>
        <v>52500</v>
      </c>
      <c r="V37" s="177">
        <f t="shared" si="34"/>
        <v>52500</v>
      </c>
      <c r="W37" s="177">
        <f t="shared" si="34"/>
        <v>52500</v>
      </c>
      <c r="X37" s="177">
        <f t="shared" si="34"/>
        <v>52500</v>
      </c>
      <c r="Y37" s="177">
        <f t="shared" si="34"/>
        <v>52500</v>
      </c>
      <c r="Z37" s="177">
        <f t="shared" si="34"/>
        <v>52500</v>
      </c>
      <c r="AA37" s="177">
        <f t="shared" si="34"/>
        <v>52500</v>
      </c>
      <c r="AB37" s="177">
        <f t="shared" si="34"/>
        <v>55125</v>
      </c>
      <c r="AC37" s="177">
        <f t="shared" si="34"/>
        <v>55125</v>
      </c>
      <c r="AD37" s="177">
        <f t="shared" si="34"/>
        <v>55125</v>
      </c>
      <c r="AE37" s="177">
        <f t="shared" si="34"/>
        <v>55125</v>
      </c>
      <c r="AF37" s="177">
        <f t="shared" si="35"/>
        <v>55125</v>
      </c>
      <c r="AG37" s="177">
        <f t="shared" si="35"/>
        <v>55125</v>
      </c>
      <c r="AH37" s="177">
        <f t="shared" si="35"/>
        <v>55125</v>
      </c>
      <c r="AI37" s="177">
        <f t="shared" si="35"/>
        <v>55125</v>
      </c>
      <c r="AJ37" s="177">
        <f t="shared" si="35"/>
        <v>55125</v>
      </c>
      <c r="AK37" s="177">
        <f t="shared" si="35"/>
        <v>55125</v>
      </c>
      <c r="AL37" s="177">
        <f t="shared" si="35"/>
        <v>55125</v>
      </c>
      <c r="AM37" s="177">
        <f t="shared" si="35"/>
        <v>55125</v>
      </c>
      <c r="AN37" s="177">
        <f t="shared" si="35"/>
        <v>57881.250000000007</v>
      </c>
      <c r="AO37" s="177">
        <f t="shared" si="35"/>
        <v>57881.250000000007</v>
      </c>
      <c r="AP37" s="177">
        <f t="shared" si="36"/>
        <v>57881.250000000007</v>
      </c>
      <c r="AQ37" s="177">
        <f t="shared" si="36"/>
        <v>57881.250000000007</v>
      </c>
      <c r="AR37" s="177">
        <f t="shared" si="36"/>
        <v>57881.250000000007</v>
      </c>
      <c r="AS37" s="177">
        <f t="shared" si="36"/>
        <v>57881.250000000007</v>
      </c>
      <c r="AT37" s="177">
        <f t="shared" si="36"/>
        <v>57881.250000000007</v>
      </c>
      <c r="AU37" s="177">
        <f t="shared" si="36"/>
        <v>57881.250000000007</v>
      </c>
      <c r="AV37" s="177">
        <f t="shared" si="36"/>
        <v>57881.250000000007</v>
      </c>
      <c r="AW37" s="177">
        <f t="shared" si="36"/>
        <v>57881.250000000007</v>
      </c>
      <c r="AX37" s="177">
        <f t="shared" si="36"/>
        <v>57881.250000000007</v>
      </c>
      <c r="AY37" s="177">
        <f t="shared" si="36"/>
        <v>57881.250000000007</v>
      </c>
      <c r="AZ37" s="177">
        <f t="shared" si="37"/>
        <v>60775.312500000015</v>
      </c>
      <c r="BA37" s="177">
        <f t="shared" si="37"/>
        <v>60775.312500000015</v>
      </c>
      <c r="BB37" s="177">
        <f t="shared" si="37"/>
        <v>60775.312500000015</v>
      </c>
      <c r="BC37" s="177">
        <f t="shared" si="37"/>
        <v>60775.312500000015</v>
      </c>
      <c r="BD37" s="177">
        <f t="shared" si="37"/>
        <v>60775.312500000015</v>
      </c>
      <c r="BE37" s="177">
        <f t="shared" si="37"/>
        <v>60775.312500000015</v>
      </c>
      <c r="BF37" s="177">
        <f t="shared" si="37"/>
        <v>60775.312500000015</v>
      </c>
      <c r="BG37" s="177">
        <f t="shared" si="37"/>
        <v>60775.312500000015</v>
      </c>
      <c r="BH37" s="177">
        <f t="shared" si="37"/>
        <v>60775.312500000015</v>
      </c>
      <c r="BI37" s="177">
        <f t="shared" si="37"/>
        <v>60775.312500000015</v>
      </c>
      <c r="BJ37" s="177">
        <f t="shared" si="38"/>
        <v>60775.312500000015</v>
      </c>
      <c r="BK37" s="177">
        <f t="shared" si="38"/>
        <v>60775.312500000015</v>
      </c>
      <c r="BL37" s="177">
        <f t="shared" si="38"/>
        <v>63814.078125000015</v>
      </c>
      <c r="BM37" s="177">
        <f t="shared" si="38"/>
        <v>63814.078125000015</v>
      </c>
      <c r="BN37" s="177">
        <f t="shared" si="38"/>
        <v>63814.078125000015</v>
      </c>
      <c r="BO37" s="177">
        <f t="shared" si="38"/>
        <v>63814.078125000015</v>
      </c>
      <c r="BP37" s="177">
        <f t="shared" si="38"/>
        <v>63814.078125000015</v>
      </c>
      <c r="BQ37" s="177">
        <f t="shared" si="38"/>
        <v>63814.078125000015</v>
      </c>
      <c r="BR37" s="177">
        <f t="shared" si="38"/>
        <v>63814.078125000015</v>
      </c>
      <c r="BS37" s="177">
        <f t="shared" si="38"/>
        <v>63814.078125000015</v>
      </c>
    </row>
    <row r="38" spans="1:71">
      <c r="A38" s="30" t="str">
        <f>Допущения!A47</f>
        <v>ГСМ</v>
      </c>
      <c r="B38" s="75" t="str">
        <f>Допущения!B47</f>
        <v>руб./мес.</v>
      </c>
      <c r="C38" s="177">
        <f>Допущения!$C47/(1+Допущения!$C$68)</f>
        <v>41666.666666666672</v>
      </c>
      <c r="D38" s="163"/>
      <c r="E38" s="177">
        <f t="shared" si="32"/>
        <v>41666.666666666672</v>
      </c>
      <c r="F38" s="177">
        <f t="shared" si="32"/>
        <v>43750.000000000007</v>
      </c>
      <c r="G38" s="177">
        <f t="shared" si="32"/>
        <v>45937.500000000007</v>
      </c>
      <c r="H38" s="177">
        <f t="shared" si="32"/>
        <v>48234.375000000007</v>
      </c>
      <c r="I38" s="177">
        <f t="shared" si="32"/>
        <v>50646.093750000007</v>
      </c>
      <c r="J38" s="177">
        <f t="shared" si="32"/>
        <v>53178.398437500015</v>
      </c>
      <c r="K38" s="163"/>
      <c r="L38" s="177">
        <f t="shared" si="33"/>
        <v>41666.666666666672</v>
      </c>
      <c r="M38" s="177">
        <f t="shared" si="33"/>
        <v>41666.666666666672</v>
      </c>
      <c r="N38" s="177">
        <f t="shared" si="33"/>
        <v>41666.666666666672</v>
      </c>
      <c r="O38" s="177">
        <f t="shared" si="33"/>
        <v>41666.666666666672</v>
      </c>
      <c r="P38" s="177">
        <f t="shared" si="33"/>
        <v>43750.000000000007</v>
      </c>
      <c r="Q38" s="177">
        <f t="shared" si="33"/>
        <v>43750.000000000007</v>
      </c>
      <c r="R38" s="177">
        <f t="shared" si="33"/>
        <v>43750.000000000007</v>
      </c>
      <c r="S38" s="177">
        <f t="shared" si="33"/>
        <v>43750.000000000007</v>
      </c>
      <c r="T38" s="177">
        <f t="shared" si="33"/>
        <v>43750.000000000007</v>
      </c>
      <c r="U38" s="177">
        <f t="shared" si="33"/>
        <v>43750.000000000007</v>
      </c>
      <c r="V38" s="177">
        <f t="shared" si="34"/>
        <v>43750.000000000007</v>
      </c>
      <c r="W38" s="177">
        <f t="shared" si="34"/>
        <v>43750.000000000007</v>
      </c>
      <c r="X38" s="177">
        <f t="shared" si="34"/>
        <v>43750.000000000007</v>
      </c>
      <c r="Y38" s="177">
        <f t="shared" si="34"/>
        <v>43750.000000000007</v>
      </c>
      <c r="Z38" s="177">
        <f t="shared" si="34"/>
        <v>43750.000000000007</v>
      </c>
      <c r="AA38" s="177">
        <f t="shared" si="34"/>
        <v>43750.000000000007</v>
      </c>
      <c r="AB38" s="177">
        <f t="shared" si="34"/>
        <v>45937.500000000007</v>
      </c>
      <c r="AC38" s="177">
        <f t="shared" si="34"/>
        <v>45937.500000000007</v>
      </c>
      <c r="AD38" s="177">
        <f t="shared" si="34"/>
        <v>45937.500000000007</v>
      </c>
      <c r="AE38" s="177">
        <f t="shared" si="34"/>
        <v>45937.500000000007</v>
      </c>
      <c r="AF38" s="177">
        <f t="shared" si="35"/>
        <v>45937.500000000007</v>
      </c>
      <c r="AG38" s="177">
        <f t="shared" si="35"/>
        <v>45937.500000000007</v>
      </c>
      <c r="AH38" s="177">
        <f t="shared" si="35"/>
        <v>45937.500000000007</v>
      </c>
      <c r="AI38" s="177">
        <f t="shared" si="35"/>
        <v>45937.500000000007</v>
      </c>
      <c r="AJ38" s="177">
        <f t="shared" si="35"/>
        <v>45937.500000000007</v>
      </c>
      <c r="AK38" s="177">
        <f t="shared" si="35"/>
        <v>45937.500000000007</v>
      </c>
      <c r="AL38" s="177">
        <f t="shared" si="35"/>
        <v>45937.500000000007</v>
      </c>
      <c r="AM38" s="177">
        <f t="shared" si="35"/>
        <v>45937.500000000007</v>
      </c>
      <c r="AN38" s="177">
        <f t="shared" si="35"/>
        <v>48234.375000000007</v>
      </c>
      <c r="AO38" s="177">
        <f t="shared" si="35"/>
        <v>48234.375000000007</v>
      </c>
      <c r="AP38" s="177">
        <f t="shared" si="36"/>
        <v>48234.375000000007</v>
      </c>
      <c r="AQ38" s="177">
        <f t="shared" si="36"/>
        <v>48234.375000000007</v>
      </c>
      <c r="AR38" s="177">
        <f t="shared" si="36"/>
        <v>48234.375000000007</v>
      </c>
      <c r="AS38" s="177">
        <f t="shared" si="36"/>
        <v>48234.375000000007</v>
      </c>
      <c r="AT38" s="177">
        <f t="shared" si="36"/>
        <v>48234.375000000007</v>
      </c>
      <c r="AU38" s="177">
        <f t="shared" si="36"/>
        <v>48234.375000000007</v>
      </c>
      <c r="AV38" s="177">
        <f t="shared" si="36"/>
        <v>48234.375000000007</v>
      </c>
      <c r="AW38" s="177">
        <f t="shared" si="36"/>
        <v>48234.375000000007</v>
      </c>
      <c r="AX38" s="177">
        <f t="shared" si="36"/>
        <v>48234.375000000007</v>
      </c>
      <c r="AY38" s="177">
        <f t="shared" si="36"/>
        <v>48234.375000000007</v>
      </c>
      <c r="AZ38" s="177">
        <f t="shared" si="37"/>
        <v>50646.093750000015</v>
      </c>
      <c r="BA38" s="177">
        <f t="shared" si="37"/>
        <v>50646.093750000015</v>
      </c>
      <c r="BB38" s="177">
        <f t="shared" si="37"/>
        <v>50646.093750000015</v>
      </c>
      <c r="BC38" s="177">
        <f t="shared" si="37"/>
        <v>50646.093750000015</v>
      </c>
      <c r="BD38" s="177">
        <f t="shared" si="37"/>
        <v>50646.093750000015</v>
      </c>
      <c r="BE38" s="177">
        <f t="shared" si="37"/>
        <v>50646.093750000015</v>
      </c>
      <c r="BF38" s="177">
        <f t="shared" si="37"/>
        <v>50646.093750000015</v>
      </c>
      <c r="BG38" s="177">
        <f t="shared" si="37"/>
        <v>50646.093750000015</v>
      </c>
      <c r="BH38" s="177">
        <f t="shared" si="37"/>
        <v>50646.093750000015</v>
      </c>
      <c r="BI38" s="177">
        <f t="shared" si="37"/>
        <v>50646.093750000015</v>
      </c>
      <c r="BJ38" s="177">
        <f t="shared" si="38"/>
        <v>50646.093750000015</v>
      </c>
      <c r="BK38" s="177">
        <f t="shared" si="38"/>
        <v>50646.093750000015</v>
      </c>
      <c r="BL38" s="177">
        <f t="shared" si="38"/>
        <v>53178.398437500022</v>
      </c>
      <c r="BM38" s="177">
        <f t="shared" si="38"/>
        <v>53178.398437500022</v>
      </c>
      <c r="BN38" s="177">
        <f t="shared" si="38"/>
        <v>53178.398437500022</v>
      </c>
      <c r="BO38" s="177">
        <f t="shared" si="38"/>
        <v>53178.398437500022</v>
      </c>
      <c r="BP38" s="177">
        <f t="shared" si="38"/>
        <v>53178.398437500022</v>
      </c>
      <c r="BQ38" s="177">
        <f t="shared" si="38"/>
        <v>53178.398437500022</v>
      </c>
      <c r="BR38" s="177">
        <f t="shared" si="38"/>
        <v>53178.398437500022</v>
      </c>
      <c r="BS38" s="177">
        <f t="shared" si="38"/>
        <v>53178.398437500022</v>
      </c>
    </row>
    <row r="39" spans="1:71">
      <c r="A39" s="30" t="str">
        <f>Допущения!A48</f>
        <v>-</v>
      </c>
      <c r="B39" s="75" t="str">
        <f>Допущения!B48</f>
        <v>руб./мес.</v>
      </c>
      <c r="C39" s="177">
        <f>Допущения!$C48/(1+Допущения!$C$68)</f>
        <v>0</v>
      </c>
      <c r="D39" s="163"/>
      <c r="E39" s="177">
        <f t="shared" si="32"/>
        <v>0</v>
      </c>
      <c r="F39" s="177">
        <f t="shared" si="32"/>
        <v>0</v>
      </c>
      <c r="G39" s="177">
        <f t="shared" si="32"/>
        <v>0</v>
      </c>
      <c r="H39" s="177">
        <f t="shared" si="32"/>
        <v>0</v>
      </c>
      <c r="I39" s="177">
        <f t="shared" si="32"/>
        <v>0</v>
      </c>
      <c r="J39" s="177">
        <f t="shared" si="32"/>
        <v>0</v>
      </c>
      <c r="K39" s="163"/>
      <c r="L39" s="177">
        <f t="shared" si="33"/>
        <v>0</v>
      </c>
      <c r="M39" s="177">
        <f t="shared" si="33"/>
        <v>0</v>
      </c>
      <c r="N39" s="177">
        <f t="shared" si="33"/>
        <v>0</v>
      </c>
      <c r="O39" s="177">
        <f t="shared" si="33"/>
        <v>0</v>
      </c>
      <c r="P39" s="177">
        <f t="shared" si="33"/>
        <v>0</v>
      </c>
      <c r="Q39" s="177">
        <f t="shared" si="33"/>
        <v>0</v>
      </c>
      <c r="R39" s="177">
        <f t="shared" si="33"/>
        <v>0</v>
      </c>
      <c r="S39" s="177">
        <f t="shared" si="33"/>
        <v>0</v>
      </c>
      <c r="T39" s="177">
        <f t="shared" si="33"/>
        <v>0</v>
      </c>
      <c r="U39" s="177">
        <f t="shared" si="33"/>
        <v>0</v>
      </c>
      <c r="V39" s="177">
        <f t="shared" si="34"/>
        <v>0</v>
      </c>
      <c r="W39" s="177">
        <f t="shared" si="34"/>
        <v>0</v>
      </c>
      <c r="X39" s="177">
        <f t="shared" si="34"/>
        <v>0</v>
      </c>
      <c r="Y39" s="177">
        <f t="shared" si="34"/>
        <v>0</v>
      </c>
      <c r="Z39" s="177">
        <f t="shared" si="34"/>
        <v>0</v>
      </c>
      <c r="AA39" s="177">
        <f t="shared" si="34"/>
        <v>0</v>
      </c>
      <c r="AB39" s="177">
        <f t="shared" si="34"/>
        <v>0</v>
      </c>
      <c r="AC39" s="177">
        <f t="shared" si="34"/>
        <v>0</v>
      </c>
      <c r="AD39" s="177">
        <f t="shared" si="34"/>
        <v>0</v>
      </c>
      <c r="AE39" s="177">
        <f t="shared" si="34"/>
        <v>0</v>
      </c>
      <c r="AF39" s="177">
        <f t="shared" si="35"/>
        <v>0</v>
      </c>
      <c r="AG39" s="177">
        <f t="shared" si="35"/>
        <v>0</v>
      </c>
      <c r="AH39" s="177">
        <f t="shared" si="35"/>
        <v>0</v>
      </c>
      <c r="AI39" s="177">
        <f t="shared" si="35"/>
        <v>0</v>
      </c>
      <c r="AJ39" s="177">
        <f t="shared" si="35"/>
        <v>0</v>
      </c>
      <c r="AK39" s="177">
        <f t="shared" si="35"/>
        <v>0</v>
      </c>
      <c r="AL39" s="177">
        <f t="shared" si="35"/>
        <v>0</v>
      </c>
      <c r="AM39" s="177">
        <f t="shared" si="35"/>
        <v>0</v>
      </c>
      <c r="AN39" s="177">
        <f t="shared" si="35"/>
        <v>0</v>
      </c>
      <c r="AO39" s="177">
        <f t="shared" si="35"/>
        <v>0</v>
      </c>
      <c r="AP39" s="177">
        <f t="shared" si="36"/>
        <v>0</v>
      </c>
      <c r="AQ39" s="177">
        <f t="shared" si="36"/>
        <v>0</v>
      </c>
      <c r="AR39" s="177">
        <f t="shared" si="36"/>
        <v>0</v>
      </c>
      <c r="AS39" s="177">
        <f t="shared" si="36"/>
        <v>0</v>
      </c>
      <c r="AT39" s="177">
        <f t="shared" si="36"/>
        <v>0</v>
      </c>
      <c r="AU39" s="177">
        <f t="shared" si="36"/>
        <v>0</v>
      </c>
      <c r="AV39" s="177">
        <f t="shared" si="36"/>
        <v>0</v>
      </c>
      <c r="AW39" s="177">
        <f t="shared" si="36"/>
        <v>0</v>
      </c>
      <c r="AX39" s="177">
        <f t="shared" si="36"/>
        <v>0</v>
      </c>
      <c r="AY39" s="177">
        <f t="shared" si="36"/>
        <v>0</v>
      </c>
      <c r="AZ39" s="177">
        <f t="shared" si="37"/>
        <v>0</v>
      </c>
      <c r="BA39" s="177">
        <f t="shared" si="37"/>
        <v>0</v>
      </c>
      <c r="BB39" s="177">
        <f t="shared" si="37"/>
        <v>0</v>
      </c>
      <c r="BC39" s="177">
        <f t="shared" si="37"/>
        <v>0</v>
      </c>
      <c r="BD39" s="177">
        <f t="shared" si="37"/>
        <v>0</v>
      </c>
      <c r="BE39" s="177">
        <f t="shared" si="37"/>
        <v>0</v>
      </c>
      <c r="BF39" s="177">
        <f t="shared" si="37"/>
        <v>0</v>
      </c>
      <c r="BG39" s="177">
        <f t="shared" si="37"/>
        <v>0</v>
      </c>
      <c r="BH39" s="177">
        <f t="shared" si="37"/>
        <v>0</v>
      </c>
      <c r="BI39" s="177">
        <f t="shared" si="37"/>
        <v>0</v>
      </c>
      <c r="BJ39" s="177">
        <f t="shared" si="38"/>
        <v>0</v>
      </c>
      <c r="BK39" s="177">
        <f t="shared" si="38"/>
        <v>0</v>
      </c>
      <c r="BL39" s="177">
        <f t="shared" si="38"/>
        <v>0</v>
      </c>
      <c r="BM39" s="177">
        <f t="shared" si="38"/>
        <v>0</v>
      </c>
      <c r="BN39" s="177">
        <f t="shared" si="38"/>
        <v>0</v>
      </c>
      <c r="BO39" s="177">
        <f t="shared" si="38"/>
        <v>0</v>
      </c>
      <c r="BP39" s="177">
        <f t="shared" si="38"/>
        <v>0</v>
      </c>
      <c r="BQ39" s="177">
        <f t="shared" si="38"/>
        <v>0</v>
      </c>
      <c r="BR39" s="177">
        <f t="shared" si="38"/>
        <v>0</v>
      </c>
      <c r="BS39" s="177">
        <f t="shared" si="38"/>
        <v>0</v>
      </c>
    </row>
    <row r="40" spans="1:71">
      <c r="A40" s="30" t="str">
        <f>Допущения!A49</f>
        <v>-</v>
      </c>
      <c r="B40" s="75" t="str">
        <f>Допущения!B49</f>
        <v>руб./мес.</v>
      </c>
      <c r="C40" s="177">
        <f>Допущения!$C49/(1+Допущения!$C$68)</f>
        <v>0</v>
      </c>
      <c r="D40" s="163"/>
      <c r="E40" s="177">
        <f t="shared" si="32"/>
        <v>0</v>
      </c>
      <c r="F40" s="177">
        <f t="shared" si="32"/>
        <v>0</v>
      </c>
      <c r="G40" s="177">
        <f t="shared" si="32"/>
        <v>0</v>
      </c>
      <c r="H40" s="177">
        <f t="shared" si="32"/>
        <v>0</v>
      </c>
      <c r="I40" s="177">
        <f t="shared" si="32"/>
        <v>0</v>
      </c>
      <c r="J40" s="177">
        <f t="shared" si="32"/>
        <v>0</v>
      </c>
      <c r="K40" s="163"/>
      <c r="L40" s="177">
        <f t="shared" si="33"/>
        <v>0</v>
      </c>
      <c r="M40" s="177">
        <f t="shared" si="33"/>
        <v>0</v>
      </c>
      <c r="N40" s="177">
        <f t="shared" si="33"/>
        <v>0</v>
      </c>
      <c r="O40" s="177">
        <f t="shared" si="33"/>
        <v>0</v>
      </c>
      <c r="P40" s="177">
        <f t="shared" si="33"/>
        <v>0</v>
      </c>
      <c r="Q40" s="177">
        <f t="shared" si="33"/>
        <v>0</v>
      </c>
      <c r="R40" s="177">
        <f t="shared" si="33"/>
        <v>0</v>
      </c>
      <c r="S40" s="177">
        <f t="shared" si="33"/>
        <v>0</v>
      </c>
      <c r="T40" s="177">
        <f t="shared" si="33"/>
        <v>0</v>
      </c>
      <c r="U40" s="177">
        <f t="shared" si="33"/>
        <v>0</v>
      </c>
      <c r="V40" s="177">
        <f t="shared" si="34"/>
        <v>0</v>
      </c>
      <c r="W40" s="177">
        <f t="shared" si="34"/>
        <v>0</v>
      </c>
      <c r="X40" s="177">
        <f t="shared" si="34"/>
        <v>0</v>
      </c>
      <c r="Y40" s="177">
        <f t="shared" si="34"/>
        <v>0</v>
      </c>
      <c r="Z40" s="177">
        <f t="shared" si="34"/>
        <v>0</v>
      </c>
      <c r="AA40" s="177">
        <f t="shared" si="34"/>
        <v>0</v>
      </c>
      <c r="AB40" s="177">
        <f t="shared" si="34"/>
        <v>0</v>
      </c>
      <c r="AC40" s="177">
        <f t="shared" si="34"/>
        <v>0</v>
      </c>
      <c r="AD40" s="177">
        <f t="shared" si="34"/>
        <v>0</v>
      </c>
      <c r="AE40" s="177">
        <f t="shared" si="34"/>
        <v>0</v>
      </c>
      <c r="AF40" s="177">
        <f t="shared" si="35"/>
        <v>0</v>
      </c>
      <c r="AG40" s="177">
        <f t="shared" si="35"/>
        <v>0</v>
      </c>
      <c r="AH40" s="177">
        <f t="shared" si="35"/>
        <v>0</v>
      </c>
      <c r="AI40" s="177">
        <f t="shared" si="35"/>
        <v>0</v>
      </c>
      <c r="AJ40" s="177">
        <f t="shared" si="35"/>
        <v>0</v>
      </c>
      <c r="AK40" s="177">
        <f t="shared" si="35"/>
        <v>0</v>
      </c>
      <c r="AL40" s="177">
        <f t="shared" si="35"/>
        <v>0</v>
      </c>
      <c r="AM40" s="177">
        <f t="shared" si="35"/>
        <v>0</v>
      </c>
      <c r="AN40" s="177">
        <f t="shared" si="35"/>
        <v>0</v>
      </c>
      <c r="AO40" s="177">
        <f t="shared" si="35"/>
        <v>0</v>
      </c>
      <c r="AP40" s="177">
        <f t="shared" si="36"/>
        <v>0</v>
      </c>
      <c r="AQ40" s="177">
        <f t="shared" si="36"/>
        <v>0</v>
      </c>
      <c r="AR40" s="177">
        <f t="shared" si="36"/>
        <v>0</v>
      </c>
      <c r="AS40" s="177">
        <f t="shared" si="36"/>
        <v>0</v>
      </c>
      <c r="AT40" s="177">
        <f t="shared" si="36"/>
        <v>0</v>
      </c>
      <c r="AU40" s="177">
        <f t="shared" si="36"/>
        <v>0</v>
      </c>
      <c r="AV40" s="177">
        <f t="shared" si="36"/>
        <v>0</v>
      </c>
      <c r="AW40" s="177">
        <f t="shared" si="36"/>
        <v>0</v>
      </c>
      <c r="AX40" s="177">
        <f t="shared" si="36"/>
        <v>0</v>
      </c>
      <c r="AY40" s="177">
        <f t="shared" si="36"/>
        <v>0</v>
      </c>
      <c r="AZ40" s="177">
        <f t="shared" si="37"/>
        <v>0</v>
      </c>
      <c r="BA40" s="177">
        <f t="shared" si="37"/>
        <v>0</v>
      </c>
      <c r="BB40" s="177">
        <f t="shared" si="37"/>
        <v>0</v>
      </c>
      <c r="BC40" s="177">
        <f t="shared" si="37"/>
        <v>0</v>
      </c>
      <c r="BD40" s="177">
        <f t="shared" si="37"/>
        <v>0</v>
      </c>
      <c r="BE40" s="177">
        <f t="shared" si="37"/>
        <v>0</v>
      </c>
      <c r="BF40" s="177">
        <f t="shared" si="37"/>
        <v>0</v>
      </c>
      <c r="BG40" s="177">
        <f t="shared" si="37"/>
        <v>0</v>
      </c>
      <c r="BH40" s="177">
        <f t="shared" si="37"/>
        <v>0</v>
      </c>
      <c r="BI40" s="177">
        <f t="shared" si="37"/>
        <v>0</v>
      </c>
      <c r="BJ40" s="177">
        <f t="shared" si="38"/>
        <v>0</v>
      </c>
      <c r="BK40" s="177">
        <f t="shared" si="38"/>
        <v>0</v>
      </c>
      <c r="BL40" s="177">
        <f t="shared" si="38"/>
        <v>0</v>
      </c>
      <c r="BM40" s="177">
        <f t="shared" si="38"/>
        <v>0</v>
      </c>
      <c r="BN40" s="177">
        <f t="shared" si="38"/>
        <v>0</v>
      </c>
      <c r="BO40" s="177">
        <f t="shared" si="38"/>
        <v>0</v>
      </c>
      <c r="BP40" s="177">
        <f t="shared" si="38"/>
        <v>0</v>
      </c>
      <c r="BQ40" s="177">
        <f t="shared" si="38"/>
        <v>0</v>
      </c>
      <c r="BR40" s="177">
        <f t="shared" si="38"/>
        <v>0</v>
      </c>
      <c r="BS40" s="177">
        <f t="shared" si="38"/>
        <v>0</v>
      </c>
    </row>
    <row r="41" spans="1:71">
      <c r="A41" s="30" t="str">
        <f>Допущения!A50</f>
        <v>-</v>
      </c>
      <c r="B41" s="75" t="str">
        <f>Допущения!B50</f>
        <v>руб./мес.</v>
      </c>
      <c r="C41" s="177">
        <f>Допущения!$C50/(1+Допущения!$C$68)</f>
        <v>0</v>
      </c>
      <c r="D41" s="163"/>
      <c r="E41" s="177">
        <f t="shared" si="32"/>
        <v>0</v>
      </c>
      <c r="F41" s="177">
        <f t="shared" si="32"/>
        <v>0</v>
      </c>
      <c r="G41" s="177">
        <f t="shared" si="32"/>
        <v>0</v>
      </c>
      <c r="H41" s="177">
        <f t="shared" si="32"/>
        <v>0</v>
      </c>
      <c r="I41" s="177">
        <f t="shared" si="32"/>
        <v>0</v>
      </c>
      <c r="J41" s="177">
        <f t="shared" si="32"/>
        <v>0</v>
      </c>
      <c r="K41" s="163"/>
      <c r="L41" s="177">
        <f t="shared" si="33"/>
        <v>0</v>
      </c>
      <c r="M41" s="177">
        <f t="shared" si="33"/>
        <v>0</v>
      </c>
      <c r="N41" s="177">
        <f t="shared" si="33"/>
        <v>0</v>
      </c>
      <c r="O41" s="177">
        <f t="shared" si="33"/>
        <v>0</v>
      </c>
      <c r="P41" s="177">
        <f t="shared" si="33"/>
        <v>0</v>
      </c>
      <c r="Q41" s="177">
        <f t="shared" si="33"/>
        <v>0</v>
      </c>
      <c r="R41" s="177">
        <f t="shared" si="33"/>
        <v>0</v>
      </c>
      <c r="S41" s="177">
        <f t="shared" si="33"/>
        <v>0</v>
      </c>
      <c r="T41" s="177">
        <f t="shared" si="33"/>
        <v>0</v>
      </c>
      <c r="U41" s="177">
        <f t="shared" si="33"/>
        <v>0</v>
      </c>
      <c r="V41" s="177">
        <f t="shared" si="34"/>
        <v>0</v>
      </c>
      <c r="W41" s="177">
        <f t="shared" si="34"/>
        <v>0</v>
      </c>
      <c r="X41" s="177">
        <f t="shared" si="34"/>
        <v>0</v>
      </c>
      <c r="Y41" s="177">
        <f t="shared" si="34"/>
        <v>0</v>
      </c>
      <c r="Z41" s="177">
        <f t="shared" si="34"/>
        <v>0</v>
      </c>
      <c r="AA41" s="177">
        <f t="shared" si="34"/>
        <v>0</v>
      </c>
      <c r="AB41" s="177">
        <f t="shared" si="34"/>
        <v>0</v>
      </c>
      <c r="AC41" s="177">
        <f t="shared" si="34"/>
        <v>0</v>
      </c>
      <c r="AD41" s="177">
        <f t="shared" si="34"/>
        <v>0</v>
      </c>
      <c r="AE41" s="177">
        <f t="shared" si="34"/>
        <v>0</v>
      </c>
      <c r="AF41" s="177">
        <f t="shared" si="35"/>
        <v>0</v>
      </c>
      <c r="AG41" s="177">
        <f t="shared" si="35"/>
        <v>0</v>
      </c>
      <c r="AH41" s="177">
        <f t="shared" si="35"/>
        <v>0</v>
      </c>
      <c r="AI41" s="177">
        <f t="shared" si="35"/>
        <v>0</v>
      </c>
      <c r="AJ41" s="177">
        <f t="shared" si="35"/>
        <v>0</v>
      </c>
      <c r="AK41" s="177">
        <f t="shared" si="35"/>
        <v>0</v>
      </c>
      <c r="AL41" s="177">
        <f t="shared" si="35"/>
        <v>0</v>
      </c>
      <c r="AM41" s="177">
        <f t="shared" si="35"/>
        <v>0</v>
      </c>
      <c r="AN41" s="177">
        <f t="shared" si="35"/>
        <v>0</v>
      </c>
      <c r="AO41" s="177">
        <f t="shared" si="35"/>
        <v>0</v>
      </c>
      <c r="AP41" s="177">
        <f t="shared" si="36"/>
        <v>0</v>
      </c>
      <c r="AQ41" s="177">
        <f t="shared" si="36"/>
        <v>0</v>
      </c>
      <c r="AR41" s="177">
        <f t="shared" si="36"/>
        <v>0</v>
      </c>
      <c r="AS41" s="177">
        <f t="shared" si="36"/>
        <v>0</v>
      </c>
      <c r="AT41" s="177">
        <f t="shared" si="36"/>
        <v>0</v>
      </c>
      <c r="AU41" s="177">
        <f t="shared" si="36"/>
        <v>0</v>
      </c>
      <c r="AV41" s="177">
        <f t="shared" si="36"/>
        <v>0</v>
      </c>
      <c r="AW41" s="177">
        <f t="shared" si="36"/>
        <v>0</v>
      </c>
      <c r="AX41" s="177">
        <f t="shared" si="36"/>
        <v>0</v>
      </c>
      <c r="AY41" s="177">
        <f t="shared" si="36"/>
        <v>0</v>
      </c>
      <c r="AZ41" s="177">
        <f t="shared" si="37"/>
        <v>0</v>
      </c>
      <c r="BA41" s="177">
        <f t="shared" si="37"/>
        <v>0</v>
      </c>
      <c r="BB41" s="177">
        <f t="shared" si="37"/>
        <v>0</v>
      </c>
      <c r="BC41" s="177">
        <f t="shared" si="37"/>
        <v>0</v>
      </c>
      <c r="BD41" s="177">
        <f t="shared" si="37"/>
        <v>0</v>
      </c>
      <c r="BE41" s="177">
        <f t="shared" si="37"/>
        <v>0</v>
      </c>
      <c r="BF41" s="177">
        <f t="shared" si="37"/>
        <v>0</v>
      </c>
      <c r="BG41" s="177">
        <f t="shared" si="37"/>
        <v>0</v>
      </c>
      <c r="BH41" s="177">
        <f t="shared" si="37"/>
        <v>0</v>
      </c>
      <c r="BI41" s="177">
        <f t="shared" si="37"/>
        <v>0</v>
      </c>
      <c r="BJ41" s="177">
        <f t="shared" si="38"/>
        <v>0</v>
      </c>
      <c r="BK41" s="177">
        <f t="shared" si="38"/>
        <v>0</v>
      </c>
      <c r="BL41" s="177">
        <f t="shared" si="38"/>
        <v>0</v>
      </c>
      <c r="BM41" s="177">
        <f t="shared" si="38"/>
        <v>0</v>
      </c>
      <c r="BN41" s="177">
        <f t="shared" si="38"/>
        <v>0</v>
      </c>
      <c r="BO41" s="177">
        <f t="shared" si="38"/>
        <v>0</v>
      </c>
      <c r="BP41" s="177">
        <f t="shared" si="38"/>
        <v>0</v>
      </c>
      <c r="BQ41" s="177">
        <f t="shared" si="38"/>
        <v>0</v>
      </c>
      <c r="BR41" s="177">
        <f t="shared" si="38"/>
        <v>0</v>
      </c>
      <c r="BS41" s="177">
        <f t="shared" si="38"/>
        <v>0</v>
      </c>
    </row>
    <row r="42" spans="1:71">
      <c r="A42" s="30" t="str">
        <f>Допущения!A51</f>
        <v>-</v>
      </c>
      <c r="B42" s="75" t="str">
        <f>Допущения!B51</f>
        <v>руб./мес.</v>
      </c>
      <c r="C42" s="177">
        <f>Допущения!$C51/(1+Допущения!$C$68)</f>
        <v>0</v>
      </c>
      <c r="D42" s="163"/>
      <c r="E42" s="177">
        <f t="shared" si="32"/>
        <v>0</v>
      </c>
      <c r="F42" s="177">
        <f t="shared" si="32"/>
        <v>0</v>
      </c>
      <c r="G42" s="177">
        <f t="shared" si="32"/>
        <v>0</v>
      </c>
      <c r="H42" s="177">
        <f t="shared" si="32"/>
        <v>0</v>
      </c>
      <c r="I42" s="177">
        <f t="shared" si="32"/>
        <v>0</v>
      </c>
      <c r="J42" s="177">
        <f t="shared" si="32"/>
        <v>0</v>
      </c>
      <c r="K42" s="163"/>
      <c r="L42" s="177">
        <f t="shared" si="33"/>
        <v>0</v>
      </c>
      <c r="M42" s="177">
        <f t="shared" si="33"/>
        <v>0</v>
      </c>
      <c r="N42" s="177">
        <f t="shared" si="33"/>
        <v>0</v>
      </c>
      <c r="O42" s="177">
        <f t="shared" si="33"/>
        <v>0</v>
      </c>
      <c r="P42" s="177">
        <f t="shared" si="33"/>
        <v>0</v>
      </c>
      <c r="Q42" s="177">
        <f t="shared" si="33"/>
        <v>0</v>
      </c>
      <c r="R42" s="177">
        <f t="shared" si="33"/>
        <v>0</v>
      </c>
      <c r="S42" s="177">
        <f t="shared" si="33"/>
        <v>0</v>
      </c>
      <c r="T42" s="177">
        <f t="shared" si="33"/>
        <v>0</v>
      </c>
      <c r="U42" s="177">
        <f t="shared" si="33"/>
        <v>0</v>
      </c>
      <c r="V42" s="177">
        <f t="shared" si="34"/>
        <v>0</v>
      </c>
      <c r="W42" s="177">
        <f t="shared" si="34"/>
        <v>0</v>
      </c>
      <c r="X42" s="177">
        <f t="shared" si="34"/>
        <v>0</v>
      </c>
      <c r="Y42" s="177">
        <f t="shared" si="34"/>
        <v>0</v>
      </c>
      <c r="Z42" s="177">
        <f t="shared" si="34"/>
        <v>0</v>
      </c>
      <c r="AA42" s="177">
        <f t="shared" si="34"/>
        <v>0</v>
      </c>
      <c r="AB42" s="177">
        <f t="shared" si="34"/>
        <v>0</v>
      </c>
      <c r="AC42" s="177">
        <f t="shared" si="34"/>
        <v>0</v>
      </c>
      <c r="AD42" s="177">
        <f t="shared" si="34"/>
        <v>0</v>
      </c>
      <c r="AE42" s="177">
        <f t="shared" si="34"/>
        <v>0</v>
      </c>
      <c r="AF42" s="177">
        <f t="shared" si="35"/>
        <v>0</v>
      </c>
      <c r="AG42" s="177">
        <f t="shared" si="35"/>
        <v>0</v>
      </c>
      <c r="AH42" s="177">
        <f t="shared" si="35"/>
        <v>0</v>
      </c>
      <c r="AI42" s="177">
        <f t="shared" si="35"/>
        <v>0</v>
      </c>
      <c r="AJ42" s="177">
        <f t="shared" si="35"/>
        <v>0</v>
      </c>
      <c r="AK42" s="177">
        <f t="shared" si="35"/>
        <v>0</v>
      </c>
      <c r="AL42" s="177">
        <f t="shared" si="35"/>
        <v>0</v>
      </c>
      <c r="AM42" s="177">
        <f t="shared" si="35"/>
        <v>0</v>
      </c>
      <c r="AN42" s="177">
        <f t="shared" si="35"/>
        <v>0</v>
      </c>
      <c r="AO42" s="177">
        <f t="shared" si="35"/>
        <v>0</v>
      </c>
      <c r="AP42" s="177">
        <f t="shared" si="36"/>
        <v>0</v>
      </c>
      <c r="AQ42" s="177">
        <f t="shared" si="36"/>
        <v>0</v>
      </c>
      <c r="AR42" s="177">
        <f t="shared" si="36"/>
        <v>0</v>
      </c>
      <c r="AS42" s="177">
        <f t="shared" si="36"/>
        <v>0</v>
      </c>
      <c r="AT42" s="177">
        <f t="shared" si="36"/>
        <v>0</v>
      </c>
      <c r="AU42" s="177">
        <f t="shared" si="36"/>
        <v>0</v>
      </c>
      <c r="AV42" s="177">
        <f t="shared" si="36"/>
        <v>0</v>
      </c>
      <c r="AW42" s="177">
        <f t="shared" si="36"/>
        <v>0</v>
      </c>
      <c r="AX42" s="177">
        <f t="shared" si="36"/>
        <v>0</v>
      </c>
      <c r="AY42" s="177">
        <f t="shared" si="36"/>
        <v>0</v>
      </c>
      <c r="AZ42" s="177">
        <f t="shared" si="37"/>
        <v>0</v>
      </c>
      <c r="BA42" s="177">
        <f t="shared" si="37"/>
        <v>0</v>
      </c>
      <c r="BB42" s="177">
        <f t="shared" si="37"/>
        <v>0</v>
      </c>
      <c r="BC42" s="177">
        <f t="shared" si="37"/>
        <v>0</v>
      </c>
      <c r="BD42" s="177">
        <f t="shared" si="37"/>
        <v>0</v>
      </c>
      <c r="BE42" s="177">
        <f t="shared" si="37"/>
        <v>0</v>
      </c>
      <c r="BF42" s="177">
        <f t="shared" si="37"/>
        <v>0</v>
      </c>
      <c r="BG42" s="177">
        <f t="shared" si="37"/>
        <v>0</v>
      </c>
      <c r="BH42" s="177">
        <f t="shared" si="37"/>
        <v>0</v>
      </c>
      <c r="BI42" s="177">
        <f t="shared" si="37"/>
        <v>0</v>
      </c>
      <c r="BJ42" s="177">
        <f t="shared" si="38"/>
        <v>0</v>
      </c>
      <c r="BK42" s="177">
        <f t="shared" si="38"/>
        <v>0</v>
      </c>
      <c r="BL42" s="177">
        <f t="shared" si="38"/>
        <v>0</v>
      </c>
      <c r="BM42" s="177">
        <f t="shared" si="38"/>
        <v>0</v>
      </c>
      <c r="BN42" s="177">
        <f t="shared" si="38"/>
        <v>0</v>
      </c>
      <c r="BO42" s="177">
        <f t="shared" si="38"/>
        <v>0</v>
      </c>
      <c r="BP42" s="177">
        <f t="shared" si="38"/>
        <v>0</v>
      </c>
      <c r="BQ42" s="177">
        <f t="shared" si="38"/>
        <v>0</v>
      </c>
      <c r="BR42" s="177">
        <f t="shared" si="38"/>
        <v>0</v>
      </c>
      <c r="BS42" s="177">
        <f t="shared" si="38"/>
        <v>0</v>
      </c>
    </row>
    <row r="43" spans="1:71">
      <c r="A43" s="215" t="str">
        <f>Допущения!A52</f>
        <v>Маркетинговые</v>
      </c>
      <c r="B43" s="75"/>
      <c r="C43" s="177"/>
      <c r="D43" s="163"/>
      <c r="E43" s="177"/>
      <c r="F43" s="177"/>
      <c r="G43" s="177"/>
      <c r="H43" s="177"/>
      <c r="I43" s="177"/>
      <c r="J43" s="177"/>
      <c r="K43" s="163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  <c r="AK43" s="177"/>
      <c r="AL43" s="177"/>
      <c r="AM43" s="177"/>
      <c r="AN43" s="177"/>
      <c r="AO43" s="177"/>
      <c r="AP43" s="177"/>
      <c r="AQ43" s="177"/>
      <c r="AR43" s="177"/>
      <c r="AS43" s="177"/>
      <c r="AT43" s="177"/>
      <c r="AU43" s="177"/>
      <c r="AV43" s="177"/>
      <c r="AW43" s="177"/>
      <c r="AX43" s="177"/>
      <c r="AY43" s="177"/>
      <c r="AZ43" s="177"/>
      <c r="BA43" s="177"/>
      <c r="BB43" s="177"/>
      <c r="BC43" s="177"/>
      <c r="BD43" s="177"/>
      <c r="BE43" s="177"/>
      <c r="BF43" s="177"/>
      <c r="BG43" s="177"/>
      <c r="BH43" s="177"/>
      <c r="BI43" s="177"/>
      <c r="BJ43" s="177"/>
      <c r="BK43" s="177"/>
      <c r="BL43" s="177"/>
      <c r="BM43" s="177"/>
      <c r="BN43" s="177"/>
      <c r="BO43" s="177"/>
      <c r="BP43" s="177"/>
      <c r="BQ43" s="177"/>
      <c r="BR43" s="177"/>
      <c r="BS43" s="177"/>
    </row>
    <row r="44" spans="1:71" ht="13.35" customHeight="1">
      <c r="A44" s="30" t="str">
        <f>Допущения!A53</f>
        <v>Онлайн-реклама</v>
      </c>
      <c r="B44" s="75" t="str">
        <f>Допущения!B53</f>
        <v>руб./мес.</v>
      </c>
      <c r="C44" s="177">
        <f>Допущения!$C53/(1+Допущения!$C$68)</f>
        <v>125000</v>
      </c>
      <c r="D44" s="163"/>
      <c r="E44" s="177">
        <f t="shared" ref="E44:J45" si="39">AVERAGEIF($L$2:$BS$2,E$2,$L44:$BS44)</f>
        <v>125000</v>
      </c>
      <c r="F44" s="177">
        <f t="shared" si="39"/>
        <v>131250</v>
      </c>
      <c r="G44" s="177">
        <f t="shared" si="39"/>
        <v>137812.5</v>
      </c>
      <c r="H44" s="177">
        <f t="shared" si="39"/>
        <v>144703.12500000003</v>
      </c>
      <c r="I44" s="177">
        <f t="shared" si="39"/>
        <v>151938.28125000003</v>
      </c>
      <c r="J44" s="177">
        <f t="shared" si="39"/>
        <v>159535.19531250003</v>
      </c>
      <c r="K44" s="163"/>
      <c r="L44" s="177">
        <f t="shared" ref="L44:U45" si="40">$C44*L$59</f>
        <v>125000</v>
      </c>
      <c r="M44" s="177">
        <f t="shared" si="40"/>
        <v>125000</v>
      </c>
      <c r="N44" s="177">
        <f t="shared" si="40"/>
        <v>125000</v>
      </c>
      <c r="O44" s="177">
        <f t="shared" si="40"/>
        <v>125000</v>
      </c>
      <c r="P44" s="177">
        <f t="shared" si="40"/>
        <v>131250</v>
      </c>
      <c r="Q44" s="177">
        <f t="shared" si="40"/>
        <v>131250</v>
      </c>
      <c r="R44" s="177">
        <f t="shared" si="40"/>
        <v>131250</v>
      </c>
      <c r="S44" s="177">
        <f t="shared" si="40"/>
        <v>131250</v>
      </c>
      <c r="T44" s="177">
        <f t="shared" si="40"/>
        <v>131250</v>
      </c>
      <c r="U44" s="177">
        <f t="shared" si="40"/>
        <v>131250</v>
      </c>
      <c r="V44" s="177">
        <f t="shared" ref="V44:AE45" si="41">$C44*V$59</f>
        <v>131250</v>
      </c>
      <c r="W44" s="177">
        <f t="shared" si="41"/>
        <v>131250</v>
      </c>
      <c r="X44" s="177">
        <f t="shared" si="41"/>
        <v>131250</v>
      </c>
      <c r="Y44" s="177">
        <f t="shared" si="41"/>
        <v>131250</v>
      </c>
      <c r="Z44" s="177">
        <f t="shared" si="41"/>
        <v>131250</v>
      </c>
      <c r="AA44" s="177">
        <f t="shared" si="41"/>
        <v>131250</v>
      </c>
      <c r="AB44" s="177">
        <f t="shared" si="41"/>
        <v>137812.5</v>
      </c>
      <c r="AC44" s="177">
        <f t="shared" si="41"/>
        <v>137812.5</v>
      </c>
      <c r="AD44" s="177">
        <f t="shared" si="41"/>
        <v>137812.5</v>
      </c>
      <c r="AE44" s="177">
        <f t="shared" si="41"/>
        <v>137812.5</v>
      </c>
      <c r="AF44" s="177">
        <f t="shared" ref="AF44:AO45" si="42">$C44*AF$59</f>
        <v>137812.5</v>
      </c>
      <c r="AG44" s="177">
        <f t="shared" si="42"/>
        <v>137812.5</v>
      </c>
      <c r="AH44" s="177">
        <f t="shared" si="42"/>
        <v>137812.5</v>
      </c>
      <c r="AI44" s="177">
        <f t="shared" si="42"/>
        <v>137812.5</v>
      </c>
      <c r="AJ44" s="177">
        <f t="shared" si="42"/>
        <v>137812.5</v>
      </c>
      <c r="AK44" s="177">
        <f t="shared" si="42"/>
        <v>137812.5</v>
      </c>
      <c r="AL44" s="177">
        <f t="shared" si="42"/>
        <v>137812.5</v>
      </c>
      <c r="AM44" s="177">
        <f t="shared" si="42"/>
        <v>137812.5</v>
      </c>
      <c r="AN44" s="177">
        <f t="shared" si="42"/>
        <v>144703.12500000003</v>
      </c>
      <c r="AO44" s="177">
        <f t="shared" si="42"/>
        <v>144703.12500000003</v>
      </c>
      <c r="AP44" s="177">
        <f t="shared" ref="AP44:AY45" si="43">$C44*AP$59</f>
        <v>144703.12500000003</v>
      </c>
      <c r="AQ44" s="177">
        <f t="shared" si="43"/>
        <v>144703.12500000003</v>
      </c>
      <c r="AR44" s="177">
        <f t="shared" si="43"/>
        <v>144703.12500000003</v>
      </c>
      <c r="AS44" s="177">
        <f t="shared" si="43"/>
        <v>144703.12500000003</v>
      </c>
      <c r="AT44" s="177">
        <f t="shared" si="43"/>
        <v>144703.12500000003</v>
      </c>
      <c r="AU44" s="177">
        <f t="shared" si="43"/>
        <v>144703.12500000003</v>
      </c>
      <c r="AV44" s="177">
        <f t="shared" si="43"/>
        <v>144703.12500000003</v>
      </c>
      <c r="AW44" s="177">
        <f t="shared" si="43"/>
        <v>144703.12500000003</v>
      </c>
      <c r="AX44" s="177">
        <f t="shared" si="43"/>
        <v>144703.12500000003</v>
      </c>
      <c r="AY44" s="177">
        <f t="shared" si="43"/>
        <v>144703.12500000003</v>
      </c>
      <c r="AZ44" s="177">
        <f t="shared" ref="AZ44:BI45" si="44">$C44*AZ$59</f>
        <v>151938.28125000003</v>
      </c>
      <c r="BA44" s="177">
        <f t="shared" si="44"/>
        <v>151938.28125000003</v>
      </c>
      <c r="BB44" s="177">
        <f t="shared" si="44"/>
        <v>151938.28125000003</v>
      </c>
      <c r="BC44" s="177">
        <f t="shared" si="44"/>
        <v>151938.28125000003</v>
      </c>
      <c r="BD44" s="177">
        <f t="shared" si="44"/>
        <v>151938.28125000003</v>
      </c>
      <c r="BE44" s="177">
        <f t="shared" si="44"/>
        <v>151938.28125000003</v>
      </c>
      <c r="BF44" s="177">
        <f t="shared" si="44"/>
        <v>151938.28125000003</v>
      </c>
      <c r="BG44" s="177">
        <f t="shared" si="44"/>
        <v>151938.28125000003</v>
      </c>
      <c r="BH44" s="177">
        <f t="shared" si="44"/>
        <v>151938.28125000003</v>
      </c>
      <c r="BI44" s="177">
        <f t="shared" si="44"/>
        <v>151938.28125000003</v>
      </c>
      <c r="BJ44" s="177">
        <f t="shared" ref="BJ44:BS45" si="45">$C44*BJ$59</f>
        <v>151938.28125000003</v>
      </c>
      <c r="BK44" s="177">
        <f t="shared" si="45"/>
        <v>151938.28125000003</v>
      </c>
      <c r="BL44" s="177">
        <f t="shared" si="45"/>
        <v>159535.19531250006</v>
      </c>
      <c r="BM44" s="177">
        <f t="shared" si="45"/>
        <v>159535.19531250006</v>
      </c>
      <c r="BN44" s="177">
        <f t="shared" si="45"/>
        <v>159535.19531250006</v>
      </c>
      <c r="BO44" s="177">
        <f t="shared" si="45"/>
        <v>159535.19531250006</v>
      </c>
      <c r="BP44" s="177">
        <f t="shared" si="45"/>
        <v>159535.19531250006</v>
      </c>
      <c r="BQ44" s="177">
        <f t="shared" si="45"/>
        <v>159535.19531250006</v>
      </c>
      <c r="BR44" s="177">
        <f t="shared" si="45"/>
        <v>159535.19531250006</v>
      </c>
      <c r="BS44" s="177">
        <f t="shared" si="45"/>
        <v>159535.19531250006</v>
      </c>
    </row>
    <row r="45" spans="1:71" ht="15.6" customHeight="1">
      <c r="A45" s="30" t="str">
        <f>Допущения!A54</f>
        <v>Оффлайн-реклама</v>
      </c>
      <c r="B45" s="75" t="str">
        <f>Допущения!B54</f>
        <v>руб./мес.</v>
      </c>
      <c r="C45" s="177">
        <f>Допущения!$C54/(1+Допущения!$C$68)</f>
        <v>41666.666666666672</v>
      </c>
      <c r="D45" s="163"/>
      <c r="E45" s="177">
        <f t="shared" si="39"/>
        <v>41666.666666666672</v>
      </c>
      <c r="F45" s="177">
        <f t="shared" si="39"/>
        <v>43750.000000000007</v>
      </c>
      <c r="G45" s="177">
        <f t="shared" si="39"/>
        <v>45937.500000000007</v>
      </c>
      <c r="H45" s="177">
        <f t="shared" si="39"/>
        <v>48234.375000000007</v>
      </c>
      <c r="I45" s="177">
        <f t="shared" si="39"/>
        <v>50646.093750000007</v>
      </c>
      <c r="J45" s="177">
        <f t="shared" si="39"/>
        <v>53178.398437500015</v>
      </c>
      <c r="K45" s="163"/>
      <c r="L45" s="177">
        <f t="shared" si="40"/>
        <v>41666.666666666672</v>
      </c>
      <c r="M45" s="177">
        <f t="shared" si="40"/>
        <v>41666.666666666672</v>
      </c>
      <c r="N45" s="177">
        <f t="shared" si="40"/>
        <v>41666.666666666672</v>
      </c>
      <c r="O45" s="177">
        <f t="shared" si="40"/>
        <v>41666.666666666672</v>
      </c>
      <c r="P45" s="177">
        <f t="shared" si="40"/>
        <v>43750.000000000007</v>
      </c>
      <c r="Q45" s="177">
        <f t="shared" si="40"/>
        <v>43750.000000000007</v>
      </c>
      <c r="R45" s="177">
        <f t="shared" si="40"/>
        <v>43750.000000000007</v>
      </c>
      <c r="S45" s="177">
        <f t="shared" si="40"/>
        <v>43750.000000000007</v>
      </c>
      <c r="T45" s="177">
        <f t="shared" si="40"/>
        <v>43750.000000000007</v>
      </c>
      <c r="U45" s="177">
        <f t="shared" si="40"/>
        <v>43750.000000000007</v>
      </c>
      <c r="V45" s="177">
        <f t="shared" si="41"/>
        <v>43750.000000000007</v>
      </c>
      <c r="W45" s="177">
        <f t="shared" si="41"/>
        <v>43750.000000000007</v>
      </c>
      <c r="X45" s="177">
        <f t="shared" si="41"/>
        <v>43750.000000000007</v>
      </c>
      <c r="Y45" s="177">
        <f t="shared" si="41"/>
        <v>43750.000000000007</v>
      </c>
      <c r="Z45" s="177">
        <f t="shared" si="41"/>
        <v>43750.000000000007</v>
      </c>
      <c r="AA45" s="177">
        <f t="shared" si="41"/>
        <v>43750.000000000007</v>
      </c>
      <c r="AB45" s="177">
        <f t="shared" si="41"/>
        <v>45937.500000000007</v>
      </c>
      <c r="AC45" s="177">
        <f t="shared" si="41"/>
        <v>45937.500000000007</v>
      </c>
      <c r="AD45" s="177">
        <f t="shared" si="41"/>
        <v>45937.500000000007</v>
      </c>
      <c r="AE45" s="177">
        <f t="shared" si="41"/>
        <v>45937.500000000007</v>
      </c>
      <c r="AF45" s="177">
        <f t="shared" si="42"/>
        <v>45937.500000000007</v>
      </c>
      <c r="AG45" s="177">
        <f t="shared" si="42"/>
        <v>45937.500000000007</v>
      </c>
      <c r="AH45" s="177">
        <f t="shared" si="42"/>
        <v>45937.500000000007</v>
      </c>
      <c r="AI45" s="177">
        <f t="shared" si="42"/>
        <v>45937.500000000007</v>
      </c>
      <c r="AJ45" s="177">
        <f t="shared" si="42"/>
        <v>45937.500000000007</v>
      </c>
      <c r="AK45" s="177">
        <f t="shared" si="42"/>
        <v>45937.500000000007</v>
      </c>
      <c r="AL45" s="177">
        <f t="shared" si="42"/>
        <v>45937.500000000007</v>
      </c>
      <c r="AM45" s="177">
        <f t="shared" si="42"/>
        <v>45937.500000000007</v>
      </c>
      <c r="AN45" s="177">
        <f t="shared" si="42"/>
        <v>48234.375000000007</v>
      </c>
      <c r="AO45" s="177">
        <f t="shared" si="42"/>
        <v>48234.375000000007</v>
      </c>
      <c r="AP45" s="177">
        <f t="shared" si="43"/>
        <v>48234.375000000007</v>
      </c>
      <c r="AQ45" s="177">
        <f t="shared" si="43"/>
        <v>48234.375000000007</v>
      </c>
      <c r="AR45" s="177">
        <f t="shared" si="43"/>
        <v>48234.375000000007</v>
      </c>
      <c r="AS45" s="177">
        <f t="shared" si="43"/>
        <v>48234.375000000007</v>
      </c>
      <c r="AT45" s="177">
        <f t="shared" si="43"/>
        <v>48234.375000000007</v>
      </c>
      <c r="AU45" s="177">
        <f t="shared" si="43"/>
        <v>48234.375000000007</v>
      </c>
      <c r="AV45" s="177">
        <f t="shared" si="43"/>
        <v>48234.375000000007</v>
      </c>
      <c r="AW45" s="177">
        <f t="shared" si="43"/>
        <v>48234.375000000007</v>
      </c>
      <c r="AX45" s="177">
        <f t="shared" si="43"/>
        <v>48234.375000000007</v>
      </c>
      <c r="AY45" s="177">
        <f t="shared" si="43"/>
        <v>48234.375000000007</v>
      </c>
      <c r="AZ45" s="177">
        <f t="shared" si="44"/>
        <v>50646.093750000015</v>
      </c>
      <c r="BA45" s="177">
        <f t="shared" si="44"/>
        <v>50646.093750000015</v>
      </c>
      <c r="BB45" s="177">
        <f t="shared" si="44"/>
        <v>50646.093750000015</v>
      </c>
      <c r="BC45" s="177">
        <f t="shared" si="44"/>
        <v>50646.093750000015</v>
      </c>
      <c r="BD45" s="177">
        <f t="shared" si="44"/>
        <v>50646.093750000015</v>
      </c>
      <c r="BE45" s="177">
        <f t="shared" si="44"/>
        <v>50646.093750000015</v>
      </c>
      <c r="BF45" s="177">
        <f t="shared" si="44"/>
        <v>50646.093750000015</v>
      </c>
      <c r="BG45" s="177">
        <f t="shared" si="44"/>
        <v>50646.093750000015</v>
      </c>
      <c r="BH45" s="177">
        <f t="shared" si="44"/>
        <v>50646.093750000015</v>
      </c>
      <c r="BI45" s="177">
        <f t="shared" si="44"/>
        <v>50646.093750000015</v>
      </c>
      <c r="BJ45" s="177">
        <f t="shared" si="45"/>
        <v>50646.093750000015</v>
      </c>
      <c r="BK45" s="177">
        <f t="shared" si="45"/>
        <v>50646.093750000015</v>
      </c>
      <c r="BL45" s="177">
        <f t="shared" si="45"/>
        <v>53178.398437500022</v>
      </c>
      <c r="BM45" s="177">
        <f t="shared" si="45"/>
        <v>53178.398437500022</v>
      </c>
      <c r="BN45" s="177">
        <f t="shared" si="45"/>
        <v>53178.398437500022</v>
      </c>
      <c r="BO45" s="177">
        <f t="shared" si="45"/>
        <v>53178.398437500022</v>
      </c>
      <c r="BP45" s="177">
        <f t="shared" si="45"/>
        <v>53178.398437500022</v>
      </c>
      <c r="BQ45" s="177">
        <f t="shared" si="45"/>
        <v>53178.398437500022</v>
      </c>
      <c r="BR45" s="177">
        <f t="shared" si="45"/>
        <v>53178.398437500022</v>
      </c>
      <c r="BS45" s="177">
        <f t="shared" si="45"/>
        <v>53178.398437500022</v>
      </c>
    </row>
    <row r="46" spans="1:71">
      <c r="A46" s="215" t="str">
        <f>Допущения!A55</f>
        <v>Управление</v>
      </c>
      <c r="B46" s="75"/>
      <c r="C46" s="177"/>
      <c r="D46" s="163"/>
      <c r="E46" s="177"/>
      <c r="F46" s="177"/>
      <c r="G46" s="177"/>
      <c r="H46" s="177"/>
      <c r="I46" s="177"/>
      <c r="J46" s="177"/>
      <c r="K46" s="163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</row>
    <row r="47" spans="1:71">
      <c r="A47" s="30" t="str">
        <f>Допущения!A56</f>
        <v>Банковские услуги</v>
      </c>
      <c r="B47" s="75" t="str">
        <f>Допущения!B56</f>
        <v>руб./мес.</v>
      </c>
      <c r="C47" s="177">
        <f>Допущения!$C56/(1+Допущения!$C$68)</f>
        <v>8333.3333333333339</v>
      </c>
      <c r="D47" s="163"/>
      <c r="E47" s="177">
        <f t="shared" ref="E47:J55" si="46">AVERAGEIF($L$2:$BS$2,E$2,$L47:$BS47)</f>
        <v>8333.3333333333339</v>
      </c>
      <c r="F47" s="177">
        <f t="shared" si="46"/>
        <v>8750.0000000000018</v>
      </c>
      <c r="G47" s="177">
        <f t="shared" si="46"/>
        <v>9187.5000000000018</v>
      </c>
      <c r="H47" s="177">
        <f t="shared" si="46"/>
        <v>9646.8750000000018</v>
      </c>
      <c r="I47" s="177">
        <f t="shared" si="46"/>
        <v>10129.218750000002</v>
      </c>
      <c r="J47" s="177">
        <f t="shared" si="46"/>
        <v>10635.679687500002</v>
      </c>
      <c r="K47" s="163"/>
      <c r="L47" s="177">
        <f t="shared" ref="L47:U52" si="47">$C47*L$59</f>
        <v>8333.3333333333339</v>
      </c>
      <c r="M47" s="177">
        <f t="shared" si="47"/>
        <v>8333.3333333333339</v>
      </c>
      <c r="N47" s="177">
        <f t="shared" si="47"/>
        <v>8333.3333333333339</v>
      </c>
      <c r="O47" s="177">
        <f t="shared" si="47"/>
        <v>8333.3333333333339</v>
      </c>
      <c r="P47" s="177">
        <f t="shared" si="47"/>
        <v>8750.0000000000018</v>
      </c>
      <c r="Q47" s="177">
        <f t="shared" si="47"/>
        <v>8750.0000000000018</v>
      </c>
      <c r="R47" s="177">
        <f t="shared" si="47"/>
        <v>8750.0000000000018</v>
      </c>
      <c r="S47" s="177">
        <f t="shared" si="47"/>
        <v>8750.0000000000018</v>
      </c>
      <c r="T47" s="177">
        <f t="shared" si="47"/>
        <v>8750.0000000000018</v>
      </c>
      <c r="U47" s="177">
        <f t="shared" si="47"/>
        <v>8750.0000000000018</v>
      </c>
      <c r="V47" s="177">
        <f t="shared" ref="V47:AE52" si="48">$C47*V$59</f>
        <v>8750.0000000000018</v>
      </c>
      <c r="W47" s="177">
        <f t="shared" si="48"/>
        <v>8750.0000000000018</v>
      </c>
      <c r="X47" s="177">
        <f t="shared" si="48"/>
        <v>8750.0000000000018</v>
      </c>
      <c r="Y47" s="177">
        <f t="shared" si="48"/>
        <v>8750.0000000000018</v>
      </c>
      <c r="Z47" s="177">
        <f t="shared" si="48"/>
        <v>8750.0000000000018</v>
      </c>
      <c r="AA47" s="177">
        <f t="shared" si="48"/>
        <v>8750.0000000000018</v>
      </c>
      <c r="AB47" s="177">
        <f t="shared" si="48"/>
        <v>9187.5000000000018</v>
      </c>
      <c r="AC47" s="177">
        <f t="shared" si="48"/>
        <v>9187.5000000000018</v>
      </c>
      <c r="AD47" s="177">
        <f t="shared" si="48"/>
        <v>9187.5000000000018</v>
      </c>
      <c r="AE47" s="177">
        <f t="shared" si="48"/>
        <v>9187.5000000000018</v>
      </c>
      <c r="AF47" s="177">
        <f t="shared" ref="AF47:AO52" si="49">$C47*AF$59</f>
        <v>9187.5000000000018</v>
      </c>
      <c r="AG47" s="177">
        <f t="shared" si="49"/>
        <v>9187.5000000000018</v>
      </c>
      <c r="AH47" s="177">
        <f t="shared" si="49"/>
        <v>9187.5000000000018</v>
      </c>
      <c r="AI47" s="177">
        <f t="shared" si="49"/>
        <v>9187.5000000000018</v>
      </c>
      <c r="AJ47" s="177">
        <f t="shared" si="49"/>
        <v>9187.5000000000018</v>
      </c>
      <c r="AK47" s="177">
        <f t="shared" si="49"/>
        <v>9187.5000000000018</v>
      </c>
      <c r="AL47" s="177">
        <f t="shared" si="49"/>
        <v>9187.5000000000018</v>
      </c>
      <c r="AM47" s="177">
        <f t="shared" si="49"/>
        <v>9187.5000000000018</v>
      </c>
      <c r="AN47" s="177">
        <f t="shared" si="49"/>
        <v>9646.8750000000018</v>
      </c>
      <c r="AO47" s="177">
        <f t="shared" si="49"/>
        <v>9646.8750000000018</v>
      </c>
      <c r="AP47" s="177">
        <f t="shared" ref="AP47:AY52" si="50">$C47*AP$59</f>
        <v>9646.8750000000018</v>
      </c>
      <c r="AQ47" s="177">
        <f t="shared" si="50"/>
        <v>9646.8750000000018</v>
      </c>
      <c r="AR47" s="177">
        <f t="shared" si="50"/>
        <v>9646.8750000000018</v>
      </c>
      <c r="AS47" s="177">
        <f t="shared" si="50"/>
        <v>9646.8750000000018</v>
      </c>
      <c r="AT47" s="177">
        <f t="shared" si="50"/>
        <v>9646.8750000000018</v>
      </c>
      <c r="AU47" s="177">
        <f t="shared" si="50"/>
        <v>9646.8750000000018</v>
      </c>
      <c r="AV47" s="177">
        <f t="shared" si="50"/>
        <v>9646.8750000000018</v>
      </c>
      <c r="AW47" s="177">
        <f t="shared" si="50"/>
        <v>9646.8750000000018</v>
      </c>
      <c r="AX47" s="177">
        <f t="shared" si="50"/>
        <v>9646.8750000000018</v>
      </c>
      <c r="AY47" s="177">
        <f t="shared" si="50"/>
        <v>9646.8750000000018</v>
      </c>
      <c r="AZ47" s="177">
        <f t="shared" ref="AZ47:BI52" si="51">$C47*AZ$59</f>
        <v>10129.218750000002</v>
      </c>
      <c r="BA47" s="177">
        <f t="shared" si="51"/>
        <v>10129.218750000002</v>
      </c>
      <c r="BB47" s="177">
        <f t="shared" si="51"/>
        <v>10129.218750000002</v>
      </c>
      <c r="BC47" s="177">
        <f t="shared" si="51"/>
        <v>10129.218750000002</v>
      </c>
      <c r="BD47" s="177">
        <f t="shared" si="51"/>
        <v>10129.218750000002</v>
      </c>
      <c r="BE47" s="177">
        <f t="shared" si="51"/>
        <v>10129.218750000002</v>
      </c>
      <c r="BF47" s="177">
        <f t="shared" si="51"/>
        <v>10129.218750000002</v>
      </c>
      <c r="BG47" s="177">
        <f t="shared" si="51"/>
        <v>10129.218750000002</v>
      </c>
      <c r="BH47" s="177">
        <f t="shared" si="51"/>
        <v>10129.218750000002</v>
      </c>
      <c r="BI47" s="177">
        <f t="shared" si="51"/>
        <v>10129.218750000002</v>
      </c>
      <c r="BJ47" s="177">
        <f t="shared" ref="BJ47:BS52" si="52">$C47*BJ$59</f>
        <v>10129.218750000002</v>
      </c>
      <c r="BK47" s="177">
        <f t="shared" si="52"/>
        <v>10129.218750000002</v>
      </c>
      <c r="BL47" s="177">
        <f t="shared" si="52"/>
        <v>10635.679687500004</v>
      </c>
      <c r="BM47" s="177">
        <f t="shared" si="52"/>
        <v>10635.679687500004</v>
      </c>
      <c r="BN47" s="177">
        <f t="shared" si="52"/>
        <v>10635.679687500004</v>
      </c>
      <c r="BO47" s="177">
        <f t="shared" si="52"/>
        <v>10635.679687500004</v>
      </c>
      <c r="BP47" s="177">
        <f t="shared" si="52"/>
        <v>10635.679687500004</v>
      </c>
      <c r="BQ47" s="177">
        <f t="shared" si="52"/>
        <v>10635.679687500004</v>
      </c>
      <c r="BR47" s="177">
        <f t="shared" si="52"/>
        <v>10635.679687500004</v>
      </c>
      <c r="BS47" s="177">
        <f t="shared" si="52"/>
        <v>10635.679687500004</v>
      </c>
    </row>
    <row r="48" spans="1:71">
      <c r="A48" s="30" t="str">
        <f>Допущения!A57</f>
        <v>Интернет и связь</v>
      </c>
      <c r="B48" s="75" t="str">
        <f>Допущения!B57</f>
        <v>руб./мес.</v>
      </c>
      <c r="C48" s="177">
        <f>Допущения!$C57/(1+Допущения!$C$68)</f>
        <v>8333.3333333333339</v>
      </c>
      <c r="D48" s="163"/>
      <c r="E48" s="177">
        <f t="shared" si="46"/>
        <v>8333.3333333333339</v>
      </c>
      <c r="F48" s="177">
        <f t="shared" si="46"/>
        <v>8750.0000000000018</v>
      </c>
      <c r="G48" s="177">
        <f t="shared" si="46"/>
        <v>9187.5000000000018</v>
      </c>
      <c r="H48" s="177">
        <f t="shared" si="46"/>
        <v>9646.8750000000018</v>
      </c>
      <c r="I48" s="177">
        <f t="shared" si="46"/>
        <v>10129.218750000002</v>
      </c>
      <c r="J48" s="177">
        <f t="shared" si="46"/>
        <v>10635.679687500002</v>
      </c>
      <c r="K48" s="163"/>
      <c r="L48" s="177">
        <f t="shared" si="47"/>
        <v>8333.3333333333339</v>
      </c>
      <c r="M48" s="177">
        <f t="shared" si="47"/>
        <v>8333.3333333333339</v>
      </c>
      <c r="N48" s="177">
        <f t="shared" si="47"/>
        <v>8333.3333333333339</v>
      </c>
      <c r="O48" s="177">
        <f t="shared" si="47"/>
        <v>8333.3333333333339</v>
      </c>
      <c r="P48" s="177">
        <f t="shared" si="47"/>
        <v>8750.0000000000018</v>
      </c>
      <c r="Q48" s="177">
        <f t="shared" si="47"/>
        <v>8750.0000000000018</v>
      </c>
      <c r="R48" s="177">
        <f t="shared" si="47"/>
        <v>8750.0000000000018</v>
      </c>
      <c r="S48" s="177">
        <f t="shared" si="47"/>
        <v>8750.0000000000018</v>
      </c>
      <c r="T48" s="177">
        <f t="shared" si="47"/>
        <v>8750.0000000000018</v>
      </c>
      <c r="U48" s="177">
        <f t="shared" si="47"/>
        <v>8750.0000000000018</v>
      </c>
      <c r="V48" s="177">
        <f t="shared" si="48"/>
        <v>8750.0000000000018</v>
      </c>
      <c r="W48" s="177">
        <f t="shared" si="48"/>
        <v>8750.0000000000018</v>
      </c>
      <c r="X48" s="177">
        <f t="shared" si="48"/>
        <v>8750.0000000000018</v>
      </c>
      <c r="Y48" s="177">
        <f t="shared" si="48"/>
        <v>8750.0000000000018</v>
      </c>
      <c r="Z48" s="177">
        <f t="shared" si="48"/>
        <v>8750.0000000000018</v>
      </c>
      <c r="AA48" s="177">
        <f t="shared" si="48"/>
        <v>8750.0000000000018</v>
      </c>
      <c r="AB48" s="177">
        <f t="shared" si="48"/>
        <v>9187.5000000000018</v>
      </c>
      <c r="AC48" s="177">
        <f t="shared" si="48"/>
        <v>9187.5000000000018</v>
      </c>
      <c r="AD48" s="177">
        <f t="shared" si="48"/>
        <v>9187.5000000000018</v>
      </c>
      <c r="AE48" s="177">
        <f t="shared" si="48"/>
        <v>9187.5000000000018</v>
      </c>
      <c r="AF48" s="177">
        <f t="shared" si="49"/>
        <v>9187.5000000000018</v>
      </c>
      <c r="AG48" s="177">
        <f t="shared" si="49"/>
        <v>9187.5000000000018</v>
      </c>
      <c r="AH48" s="177">
        <f t="shared" si="49"/>
        <v>9187.5000000000018</v>
      </c>
      <c r="AI48" s="177">
        <f t="shared" si="49"/>
        <v>9187.5000000000018</v>
      </c>
      <c r="AJ48" s="177">
        <f t="shared" si="49"/>
        <v>9187.5000000000018</v>
      </c>
      <c r="AK48" s="177">
        <f t="shared" si="49"/>
        <v>9187.5000000000018</v>
      </c>
      <c r="AL48" s="177">
        <f t="shared" si="49"/>
        <v>9187.5000000000018</v>
      </c>
      <c r="AM48" s="177">
        <f t="shared" si="49"/>
        <v>9187.5000000000018</v>
      </c>
      <c r="AN48" s="177">
        <f t="shared" si="49"/>
        <v>9646.8750000000018</v>
      </c>
      <c r="AO48" s="177">
        <f t="shared" si="49"/>
        <v>9646.8750000000018</v>
      </c>
      <c r="AP48" s="177">
        <f t="shared" si="50"/>
        <v>9646.8750000000018</v>
      </c>
      <c r="AQ48" s="177">
        <f t="shared" si="50"/>
        <v>9646.8750000000018</v>
      </c>
      <c r="AR48" s="177">
        <f t="shared" si="50"/>
        <v>9646.8750000000018</v>
      </c>
      <c r="AS48" s="177">
        <f t="shared" si="50"/>
        <v>9646.8750000000018</v>
      </c>
      <c r="AT48" s="177">
        <f t="shared" si="50"/>
        <v>9646.8750000000018</v>
      </c>
      <c r="AU48" s="177">
        <f t="shared" si="50"/>
        <v>9646.8750000000018</v>
      </c>
      <c r="AV48" s="177">
        <f t="shared" si="50"/>
        <v>9646.8750000000018</v>
      </c>
      <c r="AW48" s="177">
        <f t="shared" si="50"/>
        <v>9646.8750000000018</v>
      </c>
      <c r="AX48" s="177">
        <f t="shared" si="50"/>
        <v>9646.8750000000018</v>
      </c>
      <c r="AY48" s="177">
        <f t="shared" si="50"/>
        <v>9646.8750000000018</v>
      </c>
      <c r="AZ48" s="177">
        <f t="shared" si="51"/>
        <v>10129.218750000002</v>
      </c>
      <c r="BA48" s="177">
        <f t="shared" si="51"/>
        <v>10129.218750000002</v>
      </c>
      <c r="BB48" s="177">
        <f t="shared" si="51"/>
        <v>10129.218750000002</v>
      </c>
      <c r="BC48" s="177">
        <f t="shared" si="51"/>
        <v>10129.218750000002</v>
      </c>
      <c r="BD48" s="177">
        <f t="shared" si="51"/>
        <v>10129.218750000002</v>
      </c>
      <c r="BE48" s="177">
        <f t="shared" si="51"/>
        <v>10129.218750000002</v>
      </c>
      <c r="BF48" s="177">
        <f t="shared" si="51"/>
        <v>10129.218750000002</v>
      </c>
      <c r="BG48" s="177">
        <f t="shared" si="51"/>
        <v>10129.218750000002</v>
      </c>
      <c r="BH48" s="177">
        <f t="shared" si="51"/>
        <v>10129.218750000002</v>
      </c>
      <c r="BI48" s="177">
        <f t="shared" si="51"/>
        <v>10129.218750000002</v>
      </c>
      <c r="BJ48" s="177">
        <f t="shared" si="52"/>
        <v>10129.218750000002</v>
      </c>
      <c r="BK48" s="177">
        <f t="shared" si="52"/>
        <v>10129.218750000002</v>
      </c>
      <c r="BL48" s="177">
        <f t="shared" si="52"/>
        <v>10635.679687500004</v>
      </c>
      <c r="BM48" s="177">
        <f t="shared" si="52"/>
        <v>10635.679687500004</v>
      </c>
      <c r="BN48" s="177">
        <f t="shared" si="52"/>
        <v>10635.679687500004</v>
      </c>
      <c r="BO48" s="177">
        <f t="shared" si="52"/>
        <v>10635.679687500004</v>
      </c>
      <c r="BP48" s="177">
        <f t="shared" si="52"/>
        <v>10635.679687500004</v>
      </c>
      <c r="BQ48" s="177">
        <f t="shared" si="52"/>
        <v>10635.679687500004</v>
      </c>
      <c r="BR48" s="177">
        <f t="shared" si="52"/>
        <v>10635.679687500004</v>
      </c>
      <c r="BS48" s="177">
        <f t="shared" si="52"/>
        <v>10635.679687500004</v>
      </c>
    </row>
    <row r="49" spans="1:71">
      <c r="A49" s="30" t="str">
        <f>Допущения!A58</f>
        <v>Дезинфекция</v>
      </c>
      <c r="B49" s="75" t="str">
        <f>Допущения!B58</f>
        <v>руб./мес.</v>
      </c>
      <c r="C49" s="177">
        <f>Допущения!$C58/(1+Допущения!$C$68)</f>
        <v>10000</v>
      </c>
      <c r="D49" s="163"/>
      <c r="E49" s="177">
        <f t="shared" si="46"/>
        <v>10000</v>
      </c>
      <c r="F49" s="177">
        <f t="shared" si="46"/>
        <v>10500</v>
      </c>
      <c r="G49" s="177">
        <f t="shared" si="46"/>
        <v>11025</v>
      </c>
      <c r="H49" s="177">
        <f t="shared" si="46"/>
        <v>11576.250000000002</v>
      </c>
      <c r="I49" s="177">
        <f t="shared" si="46"/>
        <v>12155.062500000002</v>
      </c>
      <c r="J49" s="177">
        <f t="shared" si="46"/>
        <v>12762.815625000003</v>
      </c>
      <c r="K49" s="163"/>
      <c r="L49" s="177">
        <f t="shared" si="47"/>
        <v>10000</v>
      </c>
      <c r="M49" s="177">
        <f t="shared" si="47"/>
        <v>10000</v>
      </c>
      <c r="N49" s="177">
        <f t="shared" si="47"/>
        <v>10000</v>
      </c>
      <c r="O49" s="177">
        <f t="shared" si="47"/>
        <v>10000</v>
      </c>
      <c r="P49" s="177">
        <f t="shared" si="47"/>
        <v>10500</v>
      </c>
      <c r="Q49" s="177">
        <f t="shared" si="47"/>
        <v>10500</v>
      </c>
      <c r="R49" s="177">
        <f t="shared" si="47"/>
        <v>10500</v>
      </c>
      <c r="S49" s="177">
        <f t="shared" si="47"/>
        <v>10500</v>
      </c>
      <c r="T49" s="177">
        <f t="shared" si="47"/>
        <v>10500</v>
      </c>
      <c r="U49" s="177">
        <f t="shared" si="47"/>
        <v>10500</v>
      </c>
      <c r="V49" s="177">
        <f t="shared" si="48"/>
        <v>10500</v>
      </c>
      <c r="W49" s="177">
        <f t="shared" si="48"/>
        <v>10500</v>
      </c>
      <c r="X49" s="177">
        <f t="shared" si="48"/>
        <v>10500</v>
      </c>
      <c r="Y49" s="177">
        <f t="shared" si="48"/>
        <v>10500</v>
      </c>
      <c r="Z49" s="177">
        <f t="shared" si="48"/>
        <v>10500</v>
      </c>
      <c r="AA49" s="177">
        <f t="shared" si="48"/>
        <v>10500</v>
      </c>
      <c r="AB49" s="177">
        <f t="shared" si="48"/>
        <v>11025</v>
      </c>
      <c r="AC49" s="177">
        <f t="shared" si="48"/>
        <v>11025</v>
      </c>
      <c r="AD49" s="177">
        <f t="shared" si="48"/>
        <v>11025</v>
      </c>
      <c r="AE49" s="177">
        <f t="shared" si="48"/>
        <v>11025</v>
      </c>
      <c r="AF49" s="177">
        <f t="shared" si="49"/>
        <v>11025</v>
      </c>
      <c r="AG49" s="177">
        <f t="shared" si="49"/>
        <v>11025</v>
      </c>
      <c r="AH49" s="177">
        <f t="shared" si="49"/>
        <v>11025</v>
      </c>
      <c r="AI49" s="177">
        <f t="shared" si="49"/>
        <v>11025</v>
      </c>
      <c r="AJ49" s="177">
        <f t="shared" si="49"/>
        <v>11025</v>
      </c>
      <c r="AK49" s="177">
        <f t="shared" si="49"/>
        <v>11025</v>
      </c>
      <c r="AL49" s="177">
        <f t="shared" si="49"/>
        <v>11025</v>
      </c>
      <c r="AM49" s="177">
        <f t="shared" si="49"/>
        <v>11025</v>
      </c>
      <c r="AN49" s="177">
        <f t="shared" si="49"/>
        <v>11576.250000000002</v>
      </c>
      <c r="AO49" s="177">
        <f t="shared" si="49"/>
        <v>11576.250000000002</v>
      </c>
      <c r="AP49" s="177">
        <f t="shared" si="50"/>
        <v>11576.250000000002</v>
      </c>
      <c r="AQ49" s="177">
        <f t="shared" si="50"/>
        <v>11576.250000000002</v>
      </c>
      <c r="AR49" s="177">
        <f t="shared" si="50"/>
        <v>11576.250000000002</v>
      </c>
      <c r="AS49" s="177">
        <f t="shared" si="50"/>
        <v>11576.250000000002</v>
      </c>
      <c r="AT49" s="177">
        <f t="shared" si="50"/>
        <v>11576.250000000002</v>
      </c>
      <c r="AU49" s="177">
        <f t="shared" si="50"/>
        <v>11576.250000000002</v>
      </c>
      <c r="AV49" s="177">
        <f t="shared" si="50"/>
        <v>11576.250000000002</v>
      </c>
      <c r="AW49" s="177">
        <f t="shared" si="50"/>
        <v>11576.250000000002</v>
      </c>
      <c r="AX49" s="177">
        <f t="shared" si="50"/>
        <v>11576.250000000002</v>
      </c>
      <c r="AY49" s="177">
        <f t="shared" si="50"/>
        <v>11576.250000000002</v>
      </c>
      <c r="AZ49" s="177">
        <f t="shared" si="51"/>
        <v>12155.062500000002</v>
      </c>
      <c r="BA49" s="177">
        <f t="shared" si="51"/>
        <v>12155.062500000002</v>
      </c>
      <c r="BB49" s="177">
        <f t="shared" si="51"/>
        <v>12155.062500000002</v>
      </c>
      <c r="BC49" s="177">
        <f t="shared" si="51"/>
        <v>12155.062500000002</v>
      </c>
      <c r="BD49" s="177">
        <f t="shared" si="51"/>
        <v>12155.062500000002</v>
      </c>
      <c r="BE49" s="177">
        <f t="shared" si="51"/>
        <v>12155.062500000002</v>
      </c>
      <c r="BF49" s="177">
        <f t="shared" si="51"/>
        <v>12155.062500000002</v>
      </c>
      <c r="BG49" s="177">
        <f t="shared" si="51"/>
        <v>12155.062500000002</v>
      </c>
      <c r="BH49" s="177">
        <f t="shared" si="51"/>
        <v>12155.062500000002</v>
      </c>
      <c r="BI49" s="177">
        <f t="shared" si="51"/>
        <v>12155.062500000002</v>
      </c>
      <c r="BJ49" s="177">
        <f t="shared" si="52"/>
        <v>12155.062500000002</v>
      </c>
      <c r="BK49" s="177">
        <f t="shared" si="52"/>
        <v>12155.062500000002</v>
      </c>
      <c r="BL49" s="177">
        <f t="shared" si="52"/>
        <v>12762.815625000003</v>
      </c>
      <c r="BM49" s="177">
        <f t="shared" si="52"/>
        <v>12762.815625000003</v>
      </c>
      <c r="BN49" s="177">
        <f t="shared" si="52"/>
        <v>12762.815625000003</v>
      </c>
      <c r="BO49" s="177">
        <f t="shared" si="52"/>
        <v>12762.815625000003</v>
      </c>
      <c r="BP49" s="177">
        <f t="shared" si="52"/>
        <v>12762.815625000003</v>
      </c>
      <c r="BQ49" s="177">
        <f t="shared" si="52"/>
        <v>12762.815625000003</v>
      </c>
      <c r="BR49" s="177">
        <f t="shared" si="52"/>
        <v>12762.815625000003</v>
      </c>
      <c r="BS49" s="177">
        <f t="shared" si="52"/>
        <v>12762.815625000003</v>
      </c>
    </row>
    <row r="50" spans="1:71">
      <c r="A50" s="30" t="str">
        <f>Допущения!A59</f>
        <v>Канцелярские товары</v>
      </c>
      <c r="B50" s="75" t="str">
        <f>Допущения!B59</f>
        <v>руб./мес.</v>
      </c>
      <c r="C50" s="177">
        <f>Допущения!$C59/(1+Допущения!$C$68)</f>
        <v>4166.666666666667</v>
      </c>
      <c r="D50" s="163"/>
      <c r="E50" s="177">
        <f t="shared" si="46"/>
        <v>4166.666666666667</v>
      </c>
      <c r="F50" s="177">
        <f t="shared" si="46"/>
        <v>4375.0000000000009</v>
      </c>
      <c r="G50" s="177">
        <f t="shared" si="46"/>
        <v>4593.7500000000009</v>
      </c>
      <c r="H50" s="177">
        <f t="shared" si="46"/>
        <v>4823.4375000000009</v>
      </c>
      <c r="I50" s="177">
        <f t="shared" si="46"/>
        <v>5064.6093750000009</v>
      </c>
      <c r="J50" s="177">
        <f t="shared" si="46"/>
        <v>5317.8398437500009</v>
      </c>
      <c r="K50" s="163"/>
      <c r="L50" s="177">
        <f t="shared" si="47"/>
        <v>4166.666666666667</v>
      </c>
      <c r="M50" s="177">
        <f t="shared" si="47"/>
        <v>4166.666666666667</v>
      </c>
      <c r="N50" s="177">
        <f t="shared" si="47"/>
        <v>4166.666666666667</v>
      </c>
      <c r="O50" s="177">
        <f t="shared" si="47"/>
        <v>4166.666666666667</v>
      </c>
      <c r="P50" s="177">
        <f t="shared" si="47"/>
        <v>4375.0000000000009</v>
      </c>
      <c r="Q50" s="177">
        <f t="shared" si="47"/>
        <v>4375.0000000000009</v>
      </c>
      <c r="R50" s="177">
        <f t="shared" si="47"/>
        <v>4375.0000000000009</v>
      </c>
      <c r="S50" s="177">
        <f t="shared" si="47"/>
        <v>4375.0000000000009</v>
      </c>
      <c r="T50" s="177">
        <f t="shared" si="47"/>
        <v>4375.0000000000009</v>
      </c>
      <c r="U50" s="177">
        <f t="shared" si="47"/>
        <v>4375.0000000000009</v>
      </c>
      <c r="V50" s="177">
        <f t="shared" si="48"/>
        <v>4375.0000000000009</v>
      </c>
      <c r="W50" s="177">
        <f t="shared" si="48"/>
        <v>4375.0000000000009</v>
      </c>
      <c r="X50" s="177">
        <f t="shared" si="48"/>
        <v>4375.0000000000009</v>
      </c>
      <c r="Y50" s="177">
        <f t="shared" si="48"/>
        <v>4375.0000000000009</v>
      </c>
      <c r="Z50" s="177">
        <f t="shared" si="48"/>
        <v>4375.0000000000009</v>
      </c>
      <c r="AA50" s="177">
        <f t="shared" si="48"/>
        <v>4375.0000000000009</v>
      </c>
      <c r="AB50" s="177">
        <f t="shared" si="48"/>
        <v>4593.7500000000009</v>
      </c>
      <c r="AC50" s="177">
        <f t="shared" si="48"/>
        <v>4593.7500000000009</v>
      </c>
      <c r="AD50" s="177">
        <f t="shared" si="48"/>
        <v>4593.7500000000009</v>
      </c>
      <c r="AE50" s="177">
        <f t="shared" si="48"/>
        <v>4593.7500000000009</v>
      </c>
      <c r="AF50" s="177">
        <f t="shared" si="49"/>
        <v>4593.7500000000009</v>
      </c>
      <c r="AG50" s="177">
        <f t="shared" si="49"/>
        <v>4593.7500000000009</v>
      </c>
      <c r="AH50" s="177">
        <f t="shared" si="49"/>
        <v>4593.7500000000009</v>
      </c>
      <c r="AI50" s="177">
        <f t="shared" si="49"/>
        <v>4593.7500000000009</v>
      </c>
      <c r="AJ50" s="177">
        <f t="shared" si="49"/>
        <v>4593.7500000000009</v>
      </c>
      <c r="AK50" s="177">
        <f t="shared" si="49"/>
        <v>4593.7500000000009</v>
      </c>
      <c r="AL50" s="177">
        <f t="shared" si="49"/>
        <v>4593.7500000000009</v>
      </c>
      <c r="AM50" s="177">
        <f t="shared" si="49"/>
        <v>4593.7500000000009</v>
      </c>
      <c r="AN50" s="177">
        <f t="shared" si="49"/>
        <v>4823.4375000000009</v>
      </c>
      <c r="AO50" s="177">
        <f t="shared" si="49"/>
        <v>4823.4375000000009</v>
      </c>
      <c r="AP50" s="177">
        <f t="shared" si="50"/>
        <v>4823.4375000000009</v>
      </c>
      <c r="AQ50" s="177">
        <f t="shared" si="50"/>
        <v>4823.4375000000009</v>
      </c>
      <c r="AR50" s="177">
        <f t="shared" si="50"/>
        <v>4823.4375000000009</v>
      </c>
      <c r="AS50" s="177">
        <f t="shared" si="50"/>
        <v>4823.4375000000009</v>
      </c>
      <c r="AT50" s="177">
        <f t="shared" si="50"/>
        <v>4823.4375000000009</v>
      </c>
      <c r="AU50" s="177">
        <f t="shared" si="50"/>
        <v>4823.4375000000009</v>
      </c>
      <c r="AV50" s="177">
        <f t="shared" si="50"/>
        <v>4823.4375000000009</v>
      </c>
      <c r="AW50" s="177">
        <f t="shared" si="50"/>
        <v>4823.4375000000009</v>
      </c>
      <c r="AX50" s="177">
        <f t="shared" si="50"/>
        <v>4823.4375000000009</v>
      </c>
      <c r="AY50" s="177">
        <f t="shared" si="50"/>
        <v>4823.4375000000009</v>
      </c>
      <c r="AZ50" s="177">
        <f t="shared" si="51"/>
        <v>5064.6093750000009</v>
      </c>
      <c r="BA50" s="177">
        <f t="shared" si="51"/>
        <v>5064.6093750000009</v>
      </c>
      <c r="BB50" s="177">
        <f t="shared" si="51"/>
        <v>5064.6093750000009</v>
      </c>
      <c r="BC50" s="177">
        <f t="shared" si="51"/>
        <v>5064.6093750000009</v>
      </c>
      <c r="BD50" s="177">
        <f t="shared" si="51"/>
        <v>5064.6093750000009</v>
      </c>
      <c r="BE50" s="177">
        <f t="shared" si="51"/>
        <v>5064.6093750000009</v>
      </c>
      <c r="BF50" s="177">
        <f t="shared" si="51"/>
        <v>5064.6093750000009</v>
      </c>
      <c r="BG50" s="177">
        <f t="shared" si="51"/>
        <v>5064.6093750000009</v>
      </c>
      <c r="BH50" s="177">
        <f t="shared" si="51"/>
        <v>5064.6093750000009</v>
      </c>
      <c r="BI50" s="177">
        <f t="shared" si="51"/>
        <v>5064.6093750000009</v>
      </c>
      <c r="BJ50" s="177">
        <f t="shared" si="52"/>
        <v>5064.6093750000009</v>
      </c>
      <c r="BK50" s="177">
        <f t="shared" si="52"/>
        <v>5064.6093750000009</v>
      </c>
      <c r="BL50" s="177">
        <f t="shared" si="52"/>
        <v>5317.8398437500018</v>
      </c>
      <c r="BM50" s="177">
        <f t="shared" si="52"/>
        <v>5317.8398437500018</v>
      </c>
      <c r="BN50" s="177">
        <f t="shared" si="52"/>
        <v>5317.8398437500018</v>
      </c>
      <c r="BO50" s="177">
        <f t="shared" si="52"/>
        <v>5317.8398437500018</v>
      </c>
      <c r="BP50" s="177">
        <f t="shared" si="52"/>
        <v>5317.8398437500018</v>
      </c>
      <c r="BQ50" s="177">
        <f t="shared" si="52"/>
        <v>5317.8398437500018</v>
      </c>
      <c r="BR50" s="177">
        <f t="shared" si="52"/>
        <v>5317.8398437500018</v>
      </c>
      <c r="BS50" s="177">
        <f t="shared" si="52"/>
        <v>5317.8398437500018</v>
      </c>
    </row>
    <row r="51" spans="1:71">
      <c r="A51" s="30" t="str">
        <f>Допущения!A60</f>
        <v>Расходы на поддержку сайта</v>
      </c>
      <c r="B51" s="75" t="str">
        <f>Допущения!B60</f>
        <v>руб./мес.</v>
      </c>
      <c r="C51" s="177">
        <f>Допущения!$C60/(1+Допущения!$C$68)</f>
        <v>1250</v>
      </c>
      <c r="D51" s="163"/>
      <c r="E51" s="177">
        <f t="shared" si="46"/>
        <v>1250</v>
      </c>
      <c r="F51" s="177">
        <f t="shared" si="46"/>
        <v>1312.5</v>
      </c>
      <c r="G51" s="177">
        <f t="shared" si="46"/>
        <v>1378.125</v>
      </c>
      <c r="H51" s="177">
        <f t="shared" si="46"/>
        <v>1447.0312500000002</v>
      </c>
      <c r="I51" s="177">
        <f t="shared" si="46"/>
        <v>1519.3828125000002</v>
      </c>
      <c r="J51" s="177">
        <f t="shared" si="46"/>
        <v>1595.3519531250004</v>
      </c>
      <c r="K51" s="163"/>
      <c r="L51" s="177">
        <f t="shared" si="47"/>
        <v>1250</v>
      </c>
      <c r="M51" s="177">
        <f t="shared" si="47"/>
        <v>1250</v>
      </c>
      <c r="N51" s="177">
        <f t="shared" si="47"/>
        <v>1250</v>
      </c>
      <c r="O51" s="177">
        <f t="shared" si="47"/>
        <v>1250</v>
      </c>
      <c r="P51" s="177">
        <f t="shared" si="47"/>
        <v>1312.5</v>
      </c>
      <c r="Q51" s="177">
        <f t="shared" si="47"/>
        <v>1312.5</v>
      </c>
      <c r="R51" s="177">
        <f t="shared" si="47"/>
        <v>1312.5</v>
      </c>
      <c r="S51" s="177">
        <f t="shared" si="47"/>
        <v>1312.5</v>
      </c>
      <c r="T51" s="177">
        <f t="shared" si="47"/>
        <v>1312.5</v>
      </c>
      <c r="U51" s="177">
        <f t="shared" si="47"/>
        <v>1312.5</v>
      </c>
      <c r="V51" s="177">
        <f t="shared" si="48"/>
        <v>1312.5</v>
      </c>
      <c r="W51" s="177">
        <f t="shared" si="48"/>
        <v>1312.5</v>
      </c>
      <c r="X51" s="177">
        <f t="shared" si="48"/>
        <v>1312.5</v>
      </c>
      <c r="Y51" s="177">
        <f t="shared" si="48"/>
        <v>1312.5</v>
      </c>
      <c r="Z51" s="177">
        <f t="shared" si="48"/>
        <v>1312.5</v>
      </c>
      <c r="AA51" s="177">
        <f t="shared" si="48"/>
        <v>1312.5</v>
      </c>
      <c r="AB51" s="177">
        <f t="shared" si="48"/>
        <v>1378.125</v>
      </c>
      <c r="AC51" s="177">
        <f t="shared" si="48"/>
        <v>1378.125</v>
      </c>
      <c r="AD51" s="177">
        <f t="shared" si="48"/>
        <v>1378.125</v>
      </c>
      <c r="AE51" s="177">
        <f t="shared" si="48"/>
        <v>1378.125</v>
      </c>
      <c r="AF51" s="177">
        <f t="shared" si="49"/>
        <v>1378.125</v>
      </c>
      <c r="AG51" s="177">
        <f t="shared" si="49"/>
        <v>1378.125</v>
      </c>
      <c r="AH51" s="177">
        <f t="shared" si="49"/>
        <v>1378.125</v>
      </c>
      <c r="AI51" s="177">
        <f t="shared" si="49"/>
        <v>1378.125</v>
      </c>
      <c r="AJ51" s="177">
        <f t="shared" si="49"/>
        <v>1378.125</v>
      </c>
      <c r="AK51" s="177">
        <f t="shared" si="49"/>
        <v>1378.125</v>
      </c>
      <c r="AL51" s="177">
        <f t="shared" si="49"/>
        <v>1378.125</v>
      </c>
      <c r="AM51" s="177">
        <f t="shared" si="49"/>
        <v>1378.125</v>
      </c>
      <c r="AN51" s="177">
        <f t="shared" si="49"/>
        <v>1447.0312500000002</v>
      </c>
      <c r="AO51" s="177">
        <f t="shared" si="49"/>
        <v>1447.0312500000002</v>
      </c>
      <c r="AP51" s="177">
        <f t="shared" si="50"/>
        <v>1447.0312500000002</v>
      </c>
      <c r="AQ51" s="177">
        <f t="shared" si="50"/>
        <v>1447.0312500000002</v>
      </c>
      <c r="AR51" s="177">
        <f t="shared" si="50"/>
        <v>1447.0312500000002</v>
      </c>
      <c r="AS51" s="177">
        <f t="shared" si="50"/>
        <v>1447.0312500000002</v>
      </c>
      <c r="AT51" s="177">
        <f t="shared" si="50"/>
        <v>1447.0312500000002</v>
      </c>
      <c r="AU51" s="177">
        <f t="shared" si="50"/>
        <v>1447.0312500000002</v>
      </c>
      <c r="AV51" s="177">
        <f t="shared" si="50"/>
        <v>1447.0312500000002</v>
      </c>
      <c r="AW51" s="177">
        <f t="shared" si="50"/>
        <v>1447.0312500000002</v>
      </c>
      <c r="AX51" s="177">
        <f t="shared" si="50"/>
        <v>1447.0312500000002</v>
      </c>
      <c r="AY51" s="177">
        <f t="shared" si="50"/>
        <v>1447.0312500000002</v>
      </c>
      <c r="AZ51" s="177">
        <f t="shared" si="51"/>
        <v>1519.3828125000002</v>
      </c>
      <c r="BA51" s="177">
        <f t="shared" si="51"/>
        <v>1519.3828125000002</v>
      </c>
      <c r="BB51" s="177">
        <f t="shared" si="51"/>
        <v>1519.3828125000002</v>
      </c>
      <c r="BC51" s="177">
        <f t="shared" si="51"/>
        <v>1519.3828125000002</v>
      </c>
      <c r="BD51" s="177">
        <f t="shared" si="51"/>
        <v>1519.3828125000002</v>
      </c>
      <c r="BE51" s="177">
        <f t="shared" si="51"/>
        <v>1519.3828125000002</v>
      </c>
      <c r="BF51" s="177">
        <f t="shared" si="51"/>
        <v>1519.3828125000002</v>
      </c>
      <c r="BG51" s="177">
        <f t="shared" si="51"/>
        <v>1519.3828125000002</v>
      </c>
      <c r="BH51" s="177">
        <f t="shared" si="51"/>
        <v>1519.3828125000002</v>
      </c>
      <c r="BI51" s="177">
        <f t="shared" si="51"/>
        <v>1519.3828125000002</v>
      </c>
      <c r="BJ51" s="177">
        <f t="shared" si="52"/>
        <v>1519.3828125000002</v>
      </c>
      <c r="BK51" s="177">
        <f t="shared" si="52"/>
        <v>1519.3828125000002</v>
      </c>
      <c r="BL51" s="177">
        <f t="shared" si="52"/>
        <v>1595.3519531250004</v>
      </c>
      <c r="BM51" s="177">
        <f t="shared" si="52"/>
        <v>1595.3519531250004</v>
      </c>
      <c r="BN51" s="177">
        <f t="shared" si="52"/>
        <v>1595.3519531250004</v>
      </c>
      <c r="BO51" s="177">
        <f t="shared" si="52"/>
        <v>1595.3519531250004</v>
      </c>
      <c r="BP51" s="177">
        <f t="shared" si="52"/>
        <v>1595.3519531250004</v>
      </c>
      <c r="BQ51" s="177">
        <f t="shared" si="52"/>
        <v>1595.3519531250004</v>
      </c>
      <c r="BR51" s="177">
        <f t="shared" si="52"/>
        <v>1595.3519531250004</v>
      </c>
      <c r="BS51" s="177">
        <f t="shared" si="52"/>
        <v>1595.3519531250004</v>
      </c>
    </row>
    <row r="52" spans="1:71">
      <c r="A52" s="30" t="str">
        <f>Допущения!A61</f>
        <v>-</v>
      </c>
      <c r="B52" s="75" t="str">
        <f>Допущения!B61</f>
        <v>руб./мес.</v>
      </c>
      <c r="C52" s="177">
        <f>Допущения!$C61/(1+Допущения!$C$68)</f>
        <v>0</v>
      </c>
      <c r="D52" s="163"/>
      <c r="E52" s="177">
        <f t="shared" si="46"/>
        <v>0</v>
      </c>
      <c r="F52" s="177">
        <f t="shared" si="46"/>
        <v>0</v>
      </c>
      <c r="G52" s="177">
        <f t="shared" si="46"/>
        <v>0</v>
      </c>
      <c r="H52" s="177">
        <f t="shared" si="46"/>
        <v>0</v>
      </c>
      <c r="I52" s="177">
        <f t="shared" si="46"/>
        <v>0</v>
      </c>
      <c r="J52" s="177">
        <f t="shared" si="46"/>
        <v>0</v>
      </c>
      <c r="K52" s="163"/>
      <c r="L52" s="177">
        <f t="shared" si="47"/>
        <v>0</v>
      </c>
      <c r="M52" s="177">
        <f t="shared" si="47"/>
        <v>0</v>
      </c>
      <c r="N52" s="177">
        <f t="shared" si="47"/>
        <v>0</v>
      </c>
      <c r="O52" s="177">
        <f t="shared" si="47"/>
        <v>0</v>
      </c>
      <c r="P52" s="177">
        <f t="shared" si="47"/>
        <v>0</v>
      </c>
      <c r="Q52" s="177">
        <f t="shared" si="47"/>
        <v>0</v>
      </c>
      <c r="R52" s="177">
        <f t="shared" si="47"/>
        <v>0</v>
      </c>
      <c r="S52" s="177">
        <f t="shared" si="47"/>
        <v>0</v>
      </c>
      <c r="T52" s="177">
        <f t="shared" si="47"/>
        <v>0</v>
      </c>
      <c r="U52" s="177">
        <f t="shared" si="47"/>
        <v>0</v>
      </c>
      <c r="V52" s="177">
        <f t="shared" si="48"/>
        <v>0</v>
      </c>
      <c r="W52" s="177">
        <f t="shared" si="48"/>
        <v>0</v>
      </c>
      <c r="X52" s="177">
        <f t="shared" si="48"/>
        <v>0</v>
      </c>
      <c r="Y52" s="177">
        <f t="shared" si="48"/>
        <v>0</v>
      </c>
      <c r="Z52" s="177">
        <f t="shared" si="48"/>
        <v>0</v>
      </c>
      <c r="AA52" s="177">
        <f t="shared" si="48"/>
        <v>0</v>
      </c>
      <c r="AB52" s="177">
        <f t="shared" si="48"/>
        <v>0</v>
      </c>
      <c r="AC52" s="177">
        <f t="shared" si="48"/>
        <v>0</v>
      </c>
      <c r="AD52" s="177">
        <f t="shared" si="48"/>
        <v>0</v>
      </c>
      <c r="AE52" s="177">
        <f t="shared" si="48"/>
        <v>0</v>
      </c>
      <c r="AF52" s="177">
        <f t="shared" si="49"/>
        <v>0</v>
      </c>
      <c r="AG52" s="177">
        <f t="shared" si="49"/>
        <v>0</v>
      </c>
      <c r="AH52" s="177">
        <f t="shared" si="49"/>
        <v>0</v>
      </c>
      <c r="AI52" s="177">
        <f t="shared" si="49"/>
        <v>0</v>
      </c>
      <c r="AJ52" s="177">
        <f t="shared" si="49"/>
        <v>0</v>
      </c>
      <c r="AK52" s="177">
        <f t="shared" si="49"/>
        <v>0</v>
      </c>
      <c r="AL52" s="177">
        <f t="shared" si="49"/>
        <v>0</v>
      </c>
      <c r="AM52" s="177">
        <f t="shared" si="49"/>
        <v>0</v>
      </c>
      <c r="AN52" s="177">
        <f t="shared" si="49"/>
        <v>0</v>
      </c>
      <c r="AO52" s="177">
        <f t="shared" si="49"/>
        <v>0</v>
      </c>
      <c r="AP52" s="177">
        <f t="shared" si="50"/>
        <v>0</v>
      </c>
      <c r="AQ52" s="177">
        <f t="shared" si="50"/>
        <v>0</v>
      </c>
      <c r="AR52" s="177">
        <f t="shared" si="50"/>
        <v>0</v>
      </c>
      <c r="AS52" s="177">
        <f t="shared" si="50"/>
        <v>0</v>
      </c>
      <c r="AT52" s="177">
        <f t="shared" si="50"/>
        <v>0</v>
      </c>
      <c r="AU52" s="177">
        <f t="shared" si="50"/>
        <v>0</v>
      </c>
      <c r="AV52" s="177">
        <f t="shared" si="50"/>
        <v>0</v>
      </c>
      <c r="AW52" s="177">
        <f t="shared" si="50"/>
        <v>0</v>
      </c>
      <c r="AX52" s="177">
        <f t="shared" si="50"/>
        <v>0</v>
      </c>
      <c r="AY52" s="177">
        <f t="shared" si="50"/>
        <v>0</v>
      </c>
      <c r="AZ52" s="177">
        <f t="shared" si="51"/>
        <v>0</v>
      </c>
      <c r="BA52" s="177">
        <f t="shared" si="51"/>
        <v>0</v>
      </c>
      <c r="BB52" s="177">
        <f t="shared" si="51"/>
        <v>0</v>
      </c>
      <c r="BC52" s="177">
        <f t="shared" si="51"/>
        <v>0</v>
      </c>
      <c r="BD52" s="177">
        <f t="shared" si="51"/>
        <v>0</v>
      </c>
      <c r="BE52" s="177">
        <f t="shared" si="51"/>
        <v>0</v>
      </c>
      <c r="BF52" s="177">
        <f t="shared" si="51"/>
        <v>0</v>
      </c>
      <c r="BG52" s="177">
        <f t="shared" si="51"/>
        <v>0</v>
      </c>
      <c r="BH52" s="177">
        <f t="shared" si="51"/>
        <v>0</v>
      </c>
      <c r="BI52" s="177">
        <f t="shared" si="51"/>
        <v>0</v>
      </c>
      <c r="BJ52" s="177">
        <f t="shared" si="52"/>
        <v>0</v>
      </c>
      <c r="BK52" s="177">
        <f t="shared" si="52"/>
        <v>0</v>
      </c>
      <c r="BL52" s="177">
        <f t="shared" si="52"/>
        <v>0</v>
      </c>
      <c r="BM52" s="177">
        <f t="shared" si="52"/>
        <v>0</v>
      </c>
      <c r="BN52" s="177">
        <f t="shared" si="52"/>
        <v>0</v>
      </c>
      <c r="BO52" s="177">
        <f t="shared" si="52"/>
        <v>0</v>
      </c>
      <c r="BP52" s="177">
        <f t="shared" si="52"/>
        <v>0</v>
      </c>
      <c r="BQ52" s="177">
        <f t="shared" si="52"/>
        <v>0</v>
      </c>
      <c r="BR52" s="177">
        <f t="shared" si="52"/>
        <v>0</v>
      </c>
      <c r="BS52" s="177">
        <f t="shared" si="52"/>
        <v>0</v>
      </c>
    </row>
    <row r="53" spans="1:71">
      <c r="A53" s="30" t="str">
        <f>Допущения!A62</f>
        <v>-</v>
      </c>
      <c r="B53" s="75" t="str">
        <f>Допущения!B62</f>
        <v>руб./мес.</v>
      </c>
      <c r="C53" s="177">
        <f>Допущения!$C62/(1+Допущения!$C$68)</f>
        <v>0</v>
      </c>
      <c r="D53" s="163"/>
      <c r="E53" s="177">
        <f t="shared" si="46"/>
        <v>0</v>
      </c>
      <c r="F53" s="177">
        <f t="shared" si="46"/>
        <v>0</v>
      </c>
      <c r="G53" s="177">
        <f t="shared" si="46"/>
        <v>0</v>
      </c>
      <c r="H53" s="177">
        <f t="shared" si="46"/>
        <v>0</v>
      </c>
      <c r="I53" s="177">
        <f t="shared" si="46"/>
        <v>0</v>
      </c>
      <c r="J53" s="177">
        <f t="shared" si="46"/>
        <v>0</v>
      </c>
      <c r="K53" s="163"/>
      <c r="L53" s="177">
        <f>$C53*L$59</f>
        <v>0</v>
      </c>
      <c r="M53" s="177">
        <f t="shared" ref="M53:BS55" si="53">$C53*M$59</f>
        <v>0</v>
      </c>
      <c r="N53" s="177">
        <f t="shared" si="53"/>
        <v>0</v>
      </c>
      <c r="O53" s="177">
        <f t="shared" si="53"/>
        <v>0</v>
      </c>
      <c r="P53" s="177">
        <f t="shared" si="53"/>
        <v>0</v>
      </c>
      <c r="Q53" s="177">
        <f t="shared" si="53"/>
        <v>0</v>
      </c>
      <c r="R53" s="177">
        <f t="shared" si="53"/>
        <v>0</v>
      </c>
      <c r="S53" s="177">
        <f t="shared" si="53"/>
        <v>0</v>
      </c>
      <c r="T53" s="177">
        <f t="shared" si="53"/>
        <v>0</v>
      </c>
      <c r="U53" s="177">
        <f t="shared" si="53"/>
        <v>0</v>
      </c>
      <c r="V53" s="177">
        <f t="shared" si="53"/>
        <v>0</v>
      </c>
      <c r="W53" s="177">
        <f t="shared" si="53"/>
        <v>0</v>
      </c>
      <c r="X53" s="177">
        <f t="shared" si="53"/>
        <v>0</v>
      </c>
      <c r="Y53" s="177">
        <f t="shared" si="53"/>
        <v>0</v>
      </c>
      <c r="Z53" s="177">
        <f t="shared" si="53"/>
        <v>0</v>
      </c>
      <c r="AA53" s="177">
        <f t="shared" si="53"/>
        <v>0</v>
      </c>
      <c r="AB53" s="177">
        <f t="shared" si="53"/>
        <v>0</v>
      </c>
      <c r="AC53" s="177">
        <f t="shared" si="53"/>
        <v>0</v>
      </c>
      <c r="AD53" s="177">
        <f t="shared" si="53"/>
        <v>0</v>
      </c>
      <c r="AE53" s="177">
        <f t="shared" si="53"/>
        <v>0</v>
      </c>
      <c r="AF53" s="177">
        <f t="shared" si="53"/>
        <v>0</v>
      </c>
      <c r="AG53" s="177">
        <f t="shared" si="53"/>
        <v>0</v>
      </c>
      <c r="AH53" s="177">
        <f t="shared" si="53"/>
        <v>0</v>
      </c>
      <c r="AI53" s="177">
        <f t="shared" si="53"/>
        <v>0</v>
      </c>
      <c r="AJ53" s="177">
        <f t="shared" si="53"/>
        <v>0</v>
      </c>
      <c r="AK53" s="177">
        <f t="shared" si="53"/>
        <v>0</v>
      </c>
      <c r="AL53" s="177">
        <f t="shared" si="53"/>
        <v>0</v>
      </c>
      <c r="AM53" s="177">
        <f t="shared" si="53"/>
        <v>0</v>
      </c>
      <c r="AN53" s="177">
        <f t="shared" si="53"/>
        <v>0</v>
      </c>
      <c r="AO53" s="177">
        <f t="shared" si="53"/>
        <v>0</v>
      </c>
      <c r="AP53" s="177">
        <f t="shared" si="53"/>
        <v>0</v>
      </c>
      <c r="AQ53" s="177">
        <f t="shared" si="53"/>
        <v>0</v>
      </c>
      <c r="AR53" s="177">
        <f t="shared" si="53"/>
        <v>0</v>
      </c>
      <c r="AS53" s="177">
        <f t="shared" si="53"/>
        <v>0</v>
      </c>
      <c r="AT53" s="177">
        <f t="shared" si="53"/>
        <v>0</v>
      </c>
      <c r="AU53" s="177">
        <f t="shared" si="53"/>
        <v>0</v>
      </c>
      <c r="AV53" s="177">
        <f t="shared" si="53"/>
        <v>0</v>
      </c>
      <c r="AW53" s="177">
        <f t="shared" si="53"/>
        <v>0</v>
      </c>
      <c r="AX53" s="177">
        <f t="shared" si="53"/>
        <v>0</v>
      </c>
      <c r="AY53" s="177">
        <f t="shared" si="53"/>
        <v>0</v>
      </c>
      <c r="AZ53" s="177">
        <f t="shared" si="53"/>
        <v>0</v>
      </c>
      <c r="BA53" s="177">
        <f t="shared" si="53"/>
        <v>0</v>
      </c>
      <c r="BB53" s="177">
        <f t="shared" si="53"/>
        <v>0</v>
      </c>
      <c r="BC53" s="177">
        <f t="shared" si="53"/>
        <v>0</v>
      </c>
      <c r="BD53" s="177">
        <f t="shared" si="53"/>
        <v>0</v>
      </c>
      <c r="BE53" s="177">
        <f t="shared" si="53"/>
        <v>0</v>
      </c>
      <c r="BF53" s="177">
        <f t="shared" si="53"/>
        <v>0</v>
      </c>
      <c r="BG53" s="177">
        <f t="shared" si="53"/>
        <v>0</v>
      </c>
      <c r="BH53" s="177">
        <f t="shared" si="53"/>
        <v>0</v>
      </c>
      <c r="BI53" s="177">
        <f t="shared" si="53"/>
        <v>0</v>
      </c>
      <c r="BJ53" s="177">
        <f t="shared" si="53"/>
        <v>0</v>
      </c>
      <c r="BK53" s="177">
        <f t="shared" si="53"/>
        <v>0</v>
      </c>
      <c r="BL53" s="177">
        <f t="shared" si="53"/>
        <v>0</v>
      </c>
      <c r="BM53" s="177">
        <f t="shared" si="53"/>
        <v>0</v>
      </c>
      <c r="BN53" s="177">
        <f t="shared" si="53"/>
        <v>0</v>
      </c>
      <c r="BO53" s="177">
        <f t="shared" si="53"/>
        <v>0</v>
      </c>
      <c r="BP53" s="177">
        <f t="shared" si="53"/>
        <v>0</v>
      </c>
      <c r="BQ53" s="177">
        <f t="shared" si="53"/>
        <v>0</v>
      </c>
      <c r="BR53" s="177">
        <f t="shared" si="53"/>
        <v>0</v>
      </c>
      <c r="BS53" s="177">
        <f t="shared" si="53"/>
        <v>0</v>
      </c>
    </row>
    <row r="54" spans="1:71">
      <c r="A54" s="30" t="str">
        <f>Допущения!A63</f>
        <v>-</v>
      </c>
      <c r="B54" s="75" t="str">
        <f>Допущения!B63</f>
        <v>руб./мес.</v>
      </c>
      <c r="C54" s="177">
        <f>Допущения!$C63/(1+Допущения!$C$68)</f>
        <v>0</v>
      </c>
      <c r="D54" s="163"/>
      <c r="E54" s="177">
        <f t="shared" si="46"/>
        <v>0</v>
      </c>
      <c r="F54" s="177">
        <f t="shared" si="46"/>
        <v>0</v>
      </c>
      <c r="G54" s="177">
        <f t="shared" si="46"/>
        <v>0</v>
      </c>
      <c r="H54" s="177">
        <f t="shared" si="46"/>
        <v>0</v>
      </c>
      <c r="I54" s="177">
        <f t="shared" si="46"/>
        <v>0</v>
      </c>
      <c r="J54" s="177">
        <f t="shared" si="46"/>
        <v>0</v>
      </c>
      <c r="K54" s="163"/>
      <c r="L54" s="177">
        <f t="shared" ref="L54:AA55" si="54">$C54*L$59</f>
        <v>0</v>
      </c>
      <c r="M54" s="177">
        <f t="shared" si="54"/>
        <v>0</v>
      </c>
      <c r="N54" s="177">
        <f t="shared" si="54"/>
        <v>0</v>
      </c>
      <c r="O54" s="177">
        <f t="shared" si="54"/>
        <v>0</v>
      </c>
      <c r="P54" s="177">
        <f t="shared" si="54"/>
        <v>0</v>
      </c>
      <c r="Q54" s="177">
        <f t="shared" si="54"/>
        <v>0</v>
      </c>
      <c r="R54" s="177">
        <f t="shared" si="54"/>
        <v>0</v>
      </c>
      <c r="S54" s="177">
        <f t="shared" si="54"/>
        <v>0</v>
      </c>
      <c r="T54" s="177">
        <f t="shared" si="54"/>
        <v>0</v>
      </c>
      <c r="U54" s="177">
        <f t="shared" si="54"/>
        <v>0</v>
      </c>
      <c r="V54" s="177">
        <f t="shared" si="54"/>
        <v>0</v>
      </c>
      <c r="W54" s="177">
        <f t="shared" si="54"/>
        <v>0</v>
      </c>
      <c r="X54" s="177">
        <f t="shared" si="54"/>
        <v>0</v>
      </c>
      <c r="Y54" s="177">
        <f t="shared" si="54"/>
        <v>0</v>
      </c>
      <c r="Z54" s="177">
        <f t="shared" si="54"/>
        <v>0</v>
      </c>
      <c r="AA54" s="177">
        <f t="shared" si="54"/>
        <v>0</v>
      </c>
      <c r="AB54" s="177">
        <f t="shared" si="53"/>
        <v>0</v>
      </c>
      <c r="AC54" s="177">
        <f t="shared" si="53"/>
        <v>0</v>
      </c>
      <c r="AD54" s="177">
        <f t="shared" si="53"/>
        <v>0</v>
      </c>
      <c r="AE54" s="177">
        <f t="shared" si="53"/>
        <v>0</v>
      </c>
      <c r="AF54" s="177">
        <f t="shared" si="53"/>
        <v>0</v>
      </c>
      <c r="AG54" s="177">
        <f t="shared" si="53"/>
        <v>0</v>
      </c>
      <c r="AH54" s="177">
        <f t="shared" si="53"/>
        <v>0</v>
      </c>
      <c r="AI54" s="177">
        <f t="shared" si="53"/>
        <v>0</v>
      </c>
      <c r="AJ54" s="177">
        <f t="shared" si="53"/>
        <v>0</v>
      </c>
      <c r="AK54" s="177">
        <f t="shared" si="53"/>
        <v>0</v>
      </c>
      <c r="AL54" s="177">
        <f t="shared" si="53"/>
        <v>0</v>
      </c>
      <c r="AM54" s="177">
        <f t="shared" si="53"/>
        <v>0</v>
      </c>
      <c r="AN54" s="177">
        <f t="shared" si="53"/>
        <v>0</v>
      </c>
      <c r="AO54" s="177">
        <f t="shared" si="53"/>
        <v>0</v>
      </c>
      <c r="AP54" s="177">
        <f t="shared" si="53"/>
        <v>0</v>
      </c>
      <c r="AQ54" s="177">
        <f t="shared" si="53"/>
        <v>0</v>
      </c>
      <c r="AR54" s="177">
        <f t="shared" si="53"/>
        <v>0</v>
      </c>
      <c r="AS54" s="177">
        <f t="shared" si="53"/>
        <v>0</v>
      </c>
      <c r="AT54" s="177">
        <f t="shared" si="53"/>
        <v>0</v>
      </c>
      <c r="AU54" s="177">
        <f t="shared" si="53"/>
        <v>0</v>
      </c>
      <c r="AV54" s="177">
        <f t="shared" si="53"/>
        <v>0</v>
      </c>
      <c r="AW54" s="177">
        <f t="shared" si="53"/>
        <v>0</v>
      </c>
      <c r="AX54" s="177">
        <f t="shared" si="53"/>
        <v>0</v>
      </c>
      <c r="AY54" s="177">
        <f t="shared" si="53"/>
        <v>0</v>
      </c>
      <c r="AZ54" s="177">
        <f t="shared" si="53"/>
        <v>0</v>
      </c>
      <c r="BA54" s="177">
        <f t="shared" si="53"/>
        <v>0</v>
      </c>
      <c r="BB54" s="177">
        <f t="shared" si="53"/>
        <v>0</v>
      </c>
      <c r="BC54" s="177">
        <f t="shared" si="53"/>
        <v>0</v>
      </c>
      <c r="BD54" s="177">
        <f t="shared" si="53"/>
        <v>0</v>
      </c>
      <c r="BE54" s="177">
        <f t="shared" si="53"/>
        <v>0</v>
      </c>
      <c r="BF54" s="177">
        <f t="shared" si="53"/>
        <v>0</v>
      </c>
      <c r="BG54" s="177">
        <f t="shared" si="53"/>
        <v>0</v>
      </c>
      <c r="BH54" s="177">
        <f t="shared" si="53"/>
        <v>0</v>
      </c>
      <c r="BI54" s="177">
        <f t="shared" si="53"/>
        <v>0</v>
      </c>
      <c r="BJ54" s="177">
        <f t="shared" si="53"/>
        <v>0</v>
      </c>
      <c r="BK54" s="177">
        <f t="shared" si="53"/>
        <v>0</v>
      </c>
      <c r="BL54" s="177">
        <f t="shared" si="53"/>
        <v>0</v>
      </c>
      <c r="BM54" s="177">
        <f t="shared" si="53"/>
        <v>0</v>
      </c>
      <c r="BN54" s="177">
        <f t="shared" si="53"/>
        <v>0</v>
      </c>
      <c r="BO54" s="177">
        <f t="shared" si="53"/>
        <v>0</v>
      </c>
      <c r="BP54" s="177">
        <f t="shared" si="53"/>
        <v>0</v>
      </c>
      <c r="BQ54" s="177">
        <f t="shared" si="53"/>
        <v>0</v>
      </c>
      <c r="BR54" s="177">
        <f t="shared" si="53"/>
        <v>0</v>
      </c>
      <c r="BS54" s="177">
        <f t="shared" si="53"/>
        <v>0</v>
      </c>
    </row>
    <row r="55" spans="1:71">
      <c r="A55" s="30" t="str">
        <f>Допущения!A64</f>
        <v>-</v>
      </c>
      <c r="B55" s="75" t="str">
        <f>Допущения!B64</f>
        <v>руб./мес.</v>
      </c>
      <c r="C55" s="177">
        <f>Допущения!$C64/(1+Допущения!$C$68)</f>
        <v>0</v>
      </c>
      <c r="D55" s="163"/>
      <c r="E55" s="177">
        <f t="shared" si="46"/>
        <v>0</v>
      </c>
      <c r="F55" s="177">
        <f t="shared" si="46"/>
        <v>0</v>
      </c>
      <c r="G55" s="177">
        <f t="shared" si="46"/>
        <v>0</v>
      </c>
      <c r="H55" s="177">
        <f t="shared" si="46"/>
        <v>0</v>
      </c>
      <c r="I55" s="177">
        <f t="shared" si="46"/>
        <v>0</v>
      </c>
      <c r="J55" s="177">
        <f t="shared" si="46"/>
        <v>0</v>
      </c>
      <c r="K55" s="163"/>
      <c r="L55" s="177">
        <f t="shared" si="54"/>
        <v>0</v>
      </c>
      <c r="M55" s="177">
        <f t="shared" si="53"/>
        <v>0</v>
      </c>
      <c r="N55" s="177">
        <f t="shared" si="53"/>
        <v>0</v>
      </c>
      <c r="O55" s="177">
        <f t="shared" si="53"/>
        <v>0</v>
      </c>
      <c r="P55" s="177">
        <f t="shared" si="53"/>
        <v>0</v>
      </c>
      <c r="Q55" s="177">
        <f t="shared" si="53"/>
        <v>0</v>
      </c>
      <c r="R55" s="177">
        <f t="shared" si="53"/>
        <v>0</v>
      </c>
      <c r="S55" s="177">
        <f t="shared" si="53"/>
        <v>0</v>
      </c>
      <c r="T55" s="177">
        <f t="shared" si="53"/>
        <v>0</v>
      </c>
      <c r="U55" s="177">
        <f t="shared" si="53"/>
        <v>0</v>
      </c>
      <c r="V55" s="177">
        <f t="shared" si="53"/>
        <v>0</v>
      </c>
      <c r="W55" s="177">
        <f t="shared" si="53"/>
        <v>0</v>
      </c>
      <c r="X55" s="177">
        <f t="shared" si="53"/>
        <v>0</v>
      </c>
      <c r="Y55" s="177">
        <f t="shared" si="53"/>
        <v>0</v>
      </c>
      <c r="Z55" s="177">
        <f t="shared" si="53"/>
        <v>0</v>
      </c>
      <c r="AA55" s="177">
        <f t="shared" si="53"/>
        <v>0</v>
      </c>
      <c r="AB55" s="177">
        <f t="shared" si="53"/>
        <v>0</v>
      </c>
      <c r="AC55" s="177">
        <f t="shared" si="53"/>
        <v>0</v>
      </c>
      <c r="AD55" s="177">
        <f t="shared" si="53"/>
        <v>0</v>
      </c>
      <c r="AE55" s="177">
        <f t="shared" si="53"/>
        <v>0</v>
      </c>
      <c r="AF55" s="177">
        <f t="shared" si="53"/>
        <v>0</v>
      </c>
      <c r="AG55" s="177">
        <f t="shared" si="53"/>
        <v>0</v>
      </c>
      <c r="AH55" s="177">
        <f t="shared" si="53"/>
        <v>0</v>
      </c>
      <c r="AI55" s="177">
        <f t="shared" si="53"/>
        <v>0</v>
      </c>
      <c r="AJ55" s="177">
        <f t="shared" si="53"/>
        <v>0</v>
      </c>
      <c r="AK55" s="177">
        <f t="shared" si="53"/>
        <v>0</v>
      </c>
      <c r="AL55" s="177">
        <f t="shared" si="53"/>
        <v>0</v>
      </c>
      <c r="AM55" s="177">
        <f t="shared" si="53"/>
        <v>0</v>
      </c>
      <c r="AN55" s="177">
        <f t="shared" si="53"/>
        <v>0</v>
      </c>
      <c r="AO55" s="177">
        <f t="shared" si="53"/>
        <v>0</v>
      </c>
      <c r="AP55" s="177">
        <f t="shared" si="53"/>
        <v>0</v>
      </c>
      <c r="AQ55" s="177">
        <f t="shared" si="53"/>
        <v>0</v>
      </c>
      <c r="AR55" s="177">
        <f t="shared" si="53"/>
        <v>0</v>
      </c>
      <c r="AS55" s="177">
        <f t="shared" si="53"/>
        <v>0</v>
      </c>
      <c r="AT55" s="177">
        <f t="shared" si="53"/>
        <v>0</v>
      </c>
      <c r="AU55" s="177">
        <f t="shared" si="53"/>
        <v>0</v>
      </c>
      <c r="AV55" s="177">
        <f t="shared" si="53"/>
        <v>0</v>
      </c>
      <c r="AW55" s="177">
        <f t="shared" si="53"/>
        <v>0</v>
      </c>
      <c r="AX55" s="177">
        <f t="shared" si="53"/>
        <v>0</v>
      </c>
      <c r="AY55" s="177">
        <f t="shared" si="53"/>
        <v>0</v>
      </c>
      <c r="AZ55" s="177">
        <f t="shared" si="53"/>
        <v>0</v>
      </c>
      <c r="BA55" s="177">
        <f t="shared" si="53"/>
        <v>0</v>
      </c>
      <c r="BB55" s="177">
        <f t="shared" si="53"/>
        <v>0</v>
      </c>
      <c r="BC55" s="177">
        <f t="shared" si="53"/>
        <v>0</v>
      </c>
      <c r="BD55" s="177">
        <f t="shared" si="53"/>
        <v>0</v>
      </c>
      <c r="BE55" s="177">
        <f t="shared" si="53"/>
        <v>0</v>
      </c>
      <c r="BF55" s="177">
        <f t="shared" si="53"/>
        <v>0</v>
      </c>
      <c r="BG55" s="177">
        <f t="shared" si="53"/>
        <v>0</v>
      </c>
      <c r="BH55" s="177">
        <f t="shared" si="53"/>
        <v>0</v>
      </c>
      <c r="BI55" s="177">
        <f t="shared" si="53"/>
        <v>0</v>
      </c>
      <c r="BJ55" s="177">
        <f t="shared" si="53"/>
        <v>0</v>
      </c>
      <c r="BK55" s="177">
        <f t="shared" si="53"/>
        <v>0</v>
      </c>
      <c r="BL55" s="177">
        <f t="shared" si="53"/>
        <v>0</v>
      </c>
      <c r="BM55" s="177">
        <f t="shared" si="53"/>
        <v>0</v>
      </c>
      <c r="BN55" s="177">
        <f t="shared" si="53"/>
        <v>0</v>
      </c>
      <c r="BO55" s="177">
        <f t="shared" si="53"/>
        <v>0</v>
      </c>
      <c r="BP55" s="177">
        <f t="shared" si="53"/>
        <v>0</v>
      </c>
      <c r="BQ55" s="177">
        <f t="shared" si="53"/>
        <v>0</v>
      </c>
      <c r="BR55" s="177">
        <f t="shared" si="53"/>
        <v>0</v>
      </c>
      <c r="BS55" s="177">
        <f t="shared" si="53"/>
        <v>0</v>
      </c>
    </row>
    <row r="57" spans="1:71">
      <c r="A57" s="124" t="s">
        <v>232</v>
      </c>
      <c r="B57" s="134"/>
      <c r="C57" s="134"/>
      <c r="D57" s="134"/>
      <c r="E57" s="104">
        <f>E2</f>
        <v>2025</v>
      </c>
      <c r="F57" s="104">
        <f t="shared" ref="F57" si="55">E57+1</f>
        <v>2026</v>
      </c>
      <c r="G57" s="104">
        <f t="shared" ref="G57" si="56">F57+1</f>
        <v>2027</v>
      </c>
      <c r="H57" s="104">
        <f t="shared" ref="H57" si="57">G57+1</f>
        <v>2028</v>
      </c>
      <c r="I57" s="104">
        <f t="shared" ref="I57" si="58">H57+1</f>
        <v>2029</v>
      </c>
      <c r="J57" s="104">
        <f>I57+1</f>
        <v>2030</v>
      </c>
      <c r="K57" s="126"/>
      <c r="L57" s="137"/>
      <c r="M57" s="137"/>
      <c r="N57" s="137"/>
      <c r="O57" s="137"/>
      <c r="P57" s="137"/>
      <c r="Q57" s="137"/>
      <c r="R57" s="137"/>
      <c r="S57" s="137"/>
      <c r="T57" s="137"/>
      <c r="U57" s="137"/>
      <c r="V57" s="137"/>
      <c r="W57" s="137"/>
      <c r="X57" s="137"/>
      <c r="Y57" s="137"/>
      <c r="Z57" s="137"/>
      <c r="AA57" s="137"/>
      <c r="AB57" s="137"/>
      <c r="AC57" s="137"/>
      <c r="AD57" s="137"/>
      <c r="AE57" s="137"/>
      <c r="AF57" s="137"/>
      <c r="AG57" s="137"/>
      <c r="AH57" s="137"/>
      <c r="AI57" s="137"/>
      <c r="AJ57" s="137"/>
      <c r="AK57" s="137"/>
      <c r="AL57" s="137"/>
      <c r="AM57" s="137"/>
      <c r="AN57" s="137"/>
      <c r="AO57" s="137"/>
      <c r="AP57" s="137"/>
      <c r="AQ57" s="137"/>
      <c r="AR57" s="137"/>
      <c r="AS57" s="137"/>
      <c r="AT57" s="137"/>
      <c r="AU57" s="137"/>
      <c r="AV57" s="137"/>
      <c r="AW57" s="137"/>
      <c r="AX57" s="137"/>
      <c r="AY57" s="137"/>
      <c r="AZ57" s="137"/>
      <c r="BA57" s="137"/>
      <c r="BB57" s="137"/>
      <c r="BC57" s="137"/>
      <c r="BD57" s="137"/>
      <c r="BE57" s="137"/>
      <c r="BF57" s="137"/>
      <c r="BG57" s="137"/>
      <c r="BH57" s="137"/>
      <c r="BI57" s="137"/>
      <c r="BJ57" s="137"/>
      <c r="BK57" s="137"/>
      <c r="BL57" s="137"/>
      <c r="BM57" s="137"/>
      <c r="BN57" s="137"/>
      <c r="BO57" s="137"/>
      <c r="BP57" s="137"/>
      <c r="BQ57" s="137"/>
      <c r="BR57" s="137"/>
      <c r="BS57" s="137"/>
    </row>
    <row r="58" spans="1:71">
      <c r="A58" s="135" t="s">
        <v>153</v>
      </c>
      <c r="B58" s="136"/>
      <c r="C58" s="136"/>
      <c r="D58" s="136"/>
      <c r="E58" s="158">
        <v>0.05</v>
      </c>
      <c r="F58" s="158">
        <v>0.05</v>
      </c>
      <c r="G58" s="158">
        <v>0.05</v>
      </c>
      <c r="H58" s="158">
        <v>0.05</v>
      </c>
      <c r="I58" s="158">
        <v>0.05</v>
      </c>
      <c r="J58" s="158">
        <v>0.05</v>
      </c>
      <c r="K58" s="179"/>
      <c r="L58" s="180">
        <f t="shared" ref="L58:U59" si="59">SUMIF($E$19:$J$19,L$2,$E58:$J58)</f>
        <v>0.05</v>
      </c>
      <c r="M58" s="180">
        <f t="shared" si="59"/>
        <v>0.05</v>
      </c>
      <c r="N58" s="180">
        <f t="shared" si="59"/>
        <v>0.05</v>
      </c>
      <c r="O58" s="180">
        <f t="shared" si="59"/>
        <v>0.05</v>
      </c>
      <c r="P58" s="180">
        <f t="shared" si="59"/>
        <v>0.05</v>
      </c>
      <c r="Q58" s="180">
        <f t="shared" si="59"/>
        <v>0.05</v>
      </c>
      <c r="R58" s="180">
        <f t="shared" si="59"/>
        <v>0.05</v>
      </c>
      <c r="S58" s="180">
        <f t="shared" si="59"/>
        <v>0.05</v>
      </c>
      <c r="T58" s="180">
        <f t="shared" si="59"/>
        <v>0.05</v>
      </c>
      <c r="U58" s="180">
        <f t="shared" si="59"/>
        <v>0.05</v>
      </c>
      <c r="V58" s="180">
        <f t="shared" ref="V58:AE59" si="60">SUMIF($E$19:$J$19,V$2,$E58:$J58)</f>
        <v>0.05</v>
      </c>
      <c r="W58" s="180">
        <f t="shared" si="60"/>
        <v>0.05</v>
      </c>
      <c r="X58" s="180">
        <f t="shared" si="60"/>
        <v>0.05</v>
      </c>
      <c r="Y58" s="180">
        <f t="shared" si="60"/>
        <v>0.05</v>
      </c>
      <c r="Z58" s="180">
        <f t="shared" si="60"/>
        <v>0.05</v>
      </c>
      <c r="AA58" s="180">
        <f t="shared" si="60"/>
        <v>0.05</v>
      </c>
      <c r="AB58" s="180">
        <f t="shared" si="60"/>
        <v>0.05</v>
      </c>
      <c r="AC58" s="180">
        <f t="shared" si="60"/>
        <v>0.05</v>
      </c>
      <c r="AD58" s="180">
        <f t="shared" si="60"/>
        <v>0.05</v>
      </c>
      <c r="AE58" s="180">
        <f t="shared" si="60"/>
        <v>0.05</v>
      </c>
      <c r="AF58" s="180">
        <f t="shared" ref="AF58:AO59" si="61">SUMIF($E$19:$J$19,AF$2,$E58:$J58)</f>
        <v>0.05</v>
      </c>
      <c r="AG58" s="180">
        <f t="shared" si="61"/>
        <v>0.05</v>
      </c>
      <c r="AH58" s="180">
        <f t="shared" si="61"/>
        <v>0.05</v>
      </c>
      <c r="AI58" s="180">
        <f t="shared" si="61"/>
        <v>0.05</v>
      </c>
      <c r="AJ58" s="180">
        <f t="shared" si="61"/>
        <v>0.05</v>
      </c>
      <c r="AK58" s="180">
        <f t="shared" si="61"/>
        <v>0.05</v>
      </c>
      <c r="AL58" s="180">
        <f t="shared" si="61"/>
        <v>0.05</v>
      </c>
      <c r="AM58" s="180">
        <f t="shared" si="61"/>
        <v>0.05</v>
      </c>
      <c r="AN58" s="180">
        <f t="shared" si="61"/>
        <v>0.05</v>
      </c>
      <c r="AO58" s="180">
        <f t="shared" si="61"/>
        <v>0.05</v>
      </c>
      <c r="AP58" s="180">
        <f t="shared" ref="AP58:AY59" si="62">SUMIF($E$19:$J$19,AP$2,$E58:$J58)</f>
        <v>0.05</v>
      </c>
      <c r="AQ58" s="180">
        <f t="shared" si="62"/>
        <v>0.05</v>
      </c>
      <c r="AR58" s="180">
        <f t="shared" si="62"/>
        <v>0.05</v>
      </c>
      <c r="AS58" s="180">
        <f t="shared" si="62"/>
        <v>0.05</v>
      </c>
      <c r="AT58" s="180">
        <f t="shared" si="62"/>
        <v>0.05</v>
      </c>
      <c r="AU58" s="180">
        <f t="shared" si="62"/>
        <v>0.05</v>
      </c>
      <c r="AV58" s="180">
        <f t="shared" si="62"/>
        <v>0.05</v>
      </c>
      <c r="AW58" s="180">
        <f t="shared" si="62"/>
        <v>0.05</v>
      </c>
      <c r="AX58" s="180">
        <f t="shared" si="62"/>
        <v>0.05</v>
      </c>
      <c r="AY58" s="180">
        <f t="shared" si="62"/>
        <v>0.05</v>
      </c>
      <c r="AZ58" s="180">
        <f t="shared" ref="AZ58:BI59" si="63">SUMIF($E$19:$J$19,AZ$2,$E58:$J58)</f>
        <v>0.05</v>
      </c>
      <c r="BA58" s="180">
        <f t="shared" si="63"/>
        <v>0.05</v>
      </c>
      <c r="BB58" s="180">
        <f t="shared" si="63"/>
        <v>0.05</v>
      </c>
      <c r="BC58" s="180">
        <f t="shared" si="63"/>
        <v>0.05</v>
      </c>
      <c r="BD58" s="180">
        <f t="shared" si="63"/>
        <v>0.05</v>
      </c>
      <c r="BE58" s="180">
        <f t="shared" si="63"/>
        <v>0.05</v>
      </c>
      <c r="BF58" s="180">
        <f t="shared" si="63"/>
        <v>0.05</v>
      </c>
      <c r="BG58" s="180">
        <f t="shared" si="63"/>
        <v>0.05</v>
      </c>
      <c r="BH58" s="180">
        <f t="shared" si="63"/>
        <v>0.05</v>
      </c>
      <c r="BI58" s="180">
        <f t="shared" si="63"/>
        <v>0.05</v>
      </c>
      <c r="BJ58" s="180">
        <f t="shared" ref="BJ58:BS59" si="64">SUMIF($E$19:$J$19,BJ$2,$E58:$J58)</f>
        <v>0.05</v>
      </c>
      <c r="BK58" s="180">
        <f t="shared" si="64"/>
        <v>0.05</v>
      </c>
      <c r="BL58" s="180">
        <f t="shared" si="64"/>
        <v>0.05</v>
      </c>
      <c r="BM58" s="180">
        <f t="shared" si="64"/>
        <v>0.05</v>
      </c>
      <c r="BN58" s="180">
        <f t="shared" si="64"/>
        <v>0.05</v>
      </c>
      <c r="BO58" s="180">
        <f t="shared" si="64"/>
        <v>0.05</v>
      </c>
      <c r="BP58" s="180">
        <f t="shared" si="64"/>
        <v>0.05</v>
      </c>
      <c r="BQ58" s="180">
        <f t="shared" si="64"/>
        <v>0.05</v>
      </c>
      <c r="BR58" s="180">
        <f t="shared" si="64"/>
        <v>0.05</v>
      </c>
      <c r="BS58" s="180">
        <f t="shared" si="64"/>
        <v>0.05</v>
      </c>
    </row>
    <row r="59" spans="1:71" ht="26.25">
      <c r="A59" s="135" t="s">
        <v>156</v>
      </c>
      <c r="B59" s="136"/>
      <c r="C59" s="136"/>
      <c r="D59" s="136"/>
      <c r="E59" s="181">
        <v>1</v>
      </c>
      <c r="F59" s="181">
        <f>E59*(1+E58)</f>
        <v>1.05</v>
      </c>
      <c r="G59" s="181">
        <f t="shared" ref="G59" si="65">F59*(1+F58)</f>
        <v>1.1025</v>
      </c>
      <c r="H59" s="181">
        <f t="shared" ref="H59" si="66">G59*(1+G58)</f>
        <v>1.1576250000000001</v>
      </c>
      <c r="I59" s="181">
        <f t="shared" ref="I59" si="67">H59*(1+H58)</f>
        <v>1.2155062500000002</v>
      </c>
      <c r="J59" s="181">
        <f>I59*(1+I58)</f>
        <v>1.2762815625000004</v>
      </c>
      <c r="K59" s="179"/>
      <c r="L59" s="181">
        <f t="shared" si="59"/>
        <v>1</v>
      </c>
      <c r="M59" s="181">
        <f t="shared" si="59"/>
        <v>1</v>
      </c>
      <c r="N59" s="181">
        <f t="shared" si="59"/>
        <v>1</v>
      </c>
      <c r="O59" s="181">
        <f t="shared" si="59"/>
        <v>1</v>
      </c>
      <c r="P59" s="181">
        <f t="shared" si="59"/>
        <v>1.05</v>
      </c>
      <c r="Q59" s="181">
        <f t="shared" si="59"/>
        <v>1.05</v>
      </c>
      <c r="R59" s="181">
        <f t="shared" si="59"/>
        <v>1.05</v>
      </c>
      <c r="S59" s="181">
        <f t="shared" si="59"/>
        <v>1.05</v>
      </c>
      <c r="T59" s="181">
        <f t="shared" si="59"/>
        <v>1.05</v>
      </c>
      <c r="U59" s="181">
        <f t="shared" si="59"/>
        <v>1.05</v>
      </c>
      <c r="V59" s="181">
        <f t="shared" si="60"/>
        <v>1.05</v>
      </c>
      <c r="W59" s="181">
        <f t="shared" si="60"/>
        <v>1.05</v>
      </c>
      <c r="X59" s="181">
        <f t="shared" si="60"/>
        <v>1.05</v>
      </c>
      <c r="Y59" s="181">
        <f t="shared" si="60"/>
        <v>1.05</v>
      </c>
      <c r="Z59" s="181">
        <f t="shared" si="60"/>
        <v>1.05</v>
      </c>
      <c r="AA59" s="181">
        <f t="shared" si="60"/>
        <v>1.05</v>
      </c>
      <c r="AB59" s="181">
        <f t="shared" si="60"/>
        <v>1.1025</v>
      </c>
      <c r="AC59" s="181">
        <f t="shared" si="60"/>
        <v>1.1025</v>
      </c>
      <c r="AD59" s="181">
        <f t="shared" si="60"/>
        <v>1.1025</v>
      </c>
      <c r="AE59" s="181">
        <f t="shared" si="60"/>
        <v>1.1025</v>
      </c>
      <c r="AF59" s="181">
        <f t="shared" si="61"/>
        <v>1.1025</v>
      </c>
      <c r="AG59" s="181">
        <f t="shared" si="61"/>
        <v>1.1025</v>
      </c>
      <c r="AH59" s="181">
        <f t="shared" si="61"/>
        <v>1.1025</v>
      </c>
      <c r="AI59" s="181">
        <f t="shared" si="61"/>
        <v>1.1025</v>
      </c>
      <c r="AJ59" s="181">
        <f t="shared" si="61"/>
        <v>1.1025</v>
      </c>
      <c r="AK59" s="181">
        <f t="shared" si="61"/>
        <v>1.1025</v>
      </c>
      <c r="AL59" s="181">
        <f t="shared" si="61"/>
        <v>1.1025</v>
      </c>
      <c r="AM59" s="181">
        <f t="shared" si="61"/>
        <v>1.1025</v>
      </c>
      <c r="AN59" s="181">
        <f t="shared" si="61"/>
        <v>1.1576250000000001</v>
      </c>
      <c r="AO59" s="181">
        <f t="shared" si="61"/>
        <v>1.1576250000000001</v>
      </c>
      <c r="AP59" s="181">
        <f t="shared" si="62"/>
        <v>1.1576250000000001</v>
      </c>
      <c r="AQ59" s="181">
        <f t="shared" si="62"/>
        <v>1.1576250000000001</v>
      </c>
      <c r="AR59" s="181">
        <f t="shared" si="62"/>
        <v>1.1576250000000001</v>
      </c>
      <c r="AS59" s="181">
        <f t="shared" si="62"/>
        <v>1.1576250000000001</v>
      </c>
      <c r="AT59" s="181">
        <f t="shared" si="62"/>
        <v>1.1576250000000001</v>
      </c>
      <c r="AU59" s="181">
        <f t="shared" si="62"/>
        <v>1.1576250000000001</v>
      </c>
      <c r="AV59" s="181">
        <f t="shared" si="62"/>
        <v>1.1576250000000001</v>
      </c>
      <c r="AW59" s="181">
        <f t="shared" si="62"/>
        <v>1.1576250000000001</v>
      </c>
      <c r="AX59" s="181">
        <f t="shared" si="62"/>
        <v>1.1576250000000001</v>
      </c>
      <c r="AY59" s="181">
        <f t="shared" si="62"/>
        <v>1.1576250000000001</v>
      </c>
      <c r="AZ59" s="181">
        <f t="shared" si="63"/>
        <v>1.2155062500000002</v>
      </c>
      <c r="BA59" s="181">
        <f t="shared" si="63"/>
        <v>1.2155062500000002</v>
      </c>
      <c r="BB59" s="181">
        <f t="shared" si="63"/>
        <v>1.2155062500000002</v>
      </c>
      <c r="BC59" s="181">
        <f t="shared" si="63"/>
        <v>1.2155062500000002</v>
      </c>
      <c r="BD59" s="181">
        <f t="shared" si="63"/>
        <v>1.2155062500000002</v>
      </c>
      <c r="BE59" s="181">
        <f t="shared" si="63"/>
        <v>1.2155062500000002</v>
      </c>
      <c r="BF59" s="181">
        <f t="shared" si="63"/>
        <v>1.2155062500000002</v>
      </c>
      <c r="BG59" s="181">
        <f t="shared" si="63"/>
        <v>1.2155062500000002</v>
      </c>
      <c r="BH59" s="181">
        <f t="shared" si="63"/>
        <v>1.2155062500000002</v>
      </c>
      <c r="BI59" s="181">
        <f t="shared" si="63"/>
        <v>1.2155062500000002</v>
      </c>
      <c r="BJ59" s="181">
        <f t="shared" si="64"/>
        <v>1.2155062500000002</v>
      </c>
      <c r="BK59" s="181">
        <f t="shared" si="64"/>
        <v>1.2155062500000002</v>
      </c>
      <c r="BL59" s="181">
        <f t="shared" si="64"/>
        <v>1.2762815625000004</v>
      </c>
      <c r="BM59" s="181">
        <f t="shared" si="64"/>
        <v>1.2762815625000004</v>
      </c>
      <c r="BN59" s="181">
        <f t="shared" si="64"/>
        <v>1.2762815625000004</v>
      </c>
      <c r="BO59" s="181">
        <f t="shared" si="64"/>
        <v>1.2762815625000004</v>
      </c>
      <c r="BP59" s="181">
        <f t="shared" si="64"/>
        <v>1.2762815625000004</v>
      </c>
      <c r="BQ59" s="181">
        <f t="shared" si="64"/>
        <v>1.2762815625000004</v>
      </c>
      <c r="BR59" s="181">
        <f t="shared" si="64"/>
        <v>1.2762815625000004</v>
      </c>
      <c r="BS59" s="181">
        <f t="shared" si="64"/>
        <v>1.2762815625000004</v>
      </c>
    </row>
  </sheetData>
  <pageMargins left="0.7" right="0.7" top="0.75" bottom="0.75" header="0.3" footer="0.3"/>
  <pageSetup paperSize="9"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/>
  <dimension ref="A1:DL17"/>
  <sheetViews>
    <sheetView zoomScaleNormal="100" zoomScalePageLayoutView="150" workbookViewId="0">
      <pane xSplit="1" ySplit="6" topLeftCell="BI7" activePane="bottomRight" state="frozen"/>
      <selection pane="topRight" activeCell="C1" sqref="C1"/>
      <selection pane="bottomLeft" activeCell="A8" sqref="A8"/>
      <selection pane="bottomRight" activeCell="BL8" sqref="BL8:BQ15"/>
    </sheetView>
  </sheetViews>
  <sheetFormatPr defaultColWidth="8.5703125" defaultRowHeight="13.9"/>
  <cols>
    <col min="1" max="1" width="33.42578125" style="1" customWidth="1"/>
    <col min="2" max="2" width="14.35546875" style="1" customWidth="1"/>
    <col min="3" max="63" width="10.5703125" style="1" customWidth="1"/>
    <col min="64" max="69" width="12.5703125" style="1" customWidth="1"/>
    <col min="70" max="16384" width="8.5703125" style="1"/>
  </cols>
  <sheetData>
    <row r="1" spans="1:116">
      <c r="A1" s="18" t="s">
        <v>6</v>
      </c>
      <c r="B1" s="18"/>
      <c r="C1" s="19">
        <f>IF(OR(MONTH(C3)=1,MONTH(C3)=2,MONTH(C3)=3),1,IF(OR(MONTH(C3)=4,MONTH(C3)=5,MONTH(C3)=6),2,IF(OR(MONTH(C3)=7,MONTH(C3)=8,MONTH(C3)=9),3,4)))</f>
        <v>3</v>
      </c>
      <c r="D1" s="19">
        <f>IF(OR(MONTH(D3)=1,MONTH(D3)=2,MONTH(D3)=3),1,IF(OR(MONTH(D3)=4,MONTH(D3)=5,MONTH(D3)=6),2,IF(OR(MONTH(D3)=7,MONTH(D3)=8,MONTH(D3)=9),3,4)))</f>
        <v>4</v>
      </c>
      <c r="E1" s="19">
        <f>IF(OR(MONTH(E3)=1,MONTH(E3)=2,MONTH(E3)=3),1,IF(OR(MONTH(E3)=4,MONTH(E3)=5,MONTH(E3)=6),2,IF(OR(MONTH(E3)=7,MONTH(E3)=8,MONTH(E3)=9),3,4)))</f>
        <v>4</v>
      </c>
      <c r="F1" s="19">
        <f t="shared" ref="F1:BJ1" si="0">IF(OR(MONTH(F3)=1,MONTH(F3)=2,MONTH(F3)=3),1,IF(OR(MONTH(F3)=4,MONTH(F3)=5,MONTH(F3)=6),2,IF(OR(MONTH(F3)=7,MONTH(F3)=8,MONTH(F3)=9),3,4)))</f>
        <v>4</v>
      </c>
      <c r="G1" s="19">
        <f t="shared" si="0"/>
        <v>1</v>
      </c>
      <c r="H1" s="19">
        <f t="shared" si="0"/>
        <v>1</v>
      </c>
      <c r="I1" s="19">
        <f t="shared" si="0"/>
        <v>1</v>
      </c>
      <c r="J1" s="19">
        <f t="shared" si="0"/>
        <v>2</v>
      </c>
      <c r="K1" s="19">
        <f t="shared" si="0"/>
        <v>2</v>
      </c>
      <c r="L1" s="19">
        <f t="shared" si="0"/>
        <v>2</v>
      </c>
      <c r="M1" s="19">
        <f t="shared" si="0"/>
        <v>3</v>
      </c>
      <c r="N1" s="19">
        <f t="shared" si="0"/>
        <v>3</v>
      </c>
      <c r="O1" s="19">
        <f t="shared" si="0"/>
        <v>3</v>
      </c>
      <c r="P1" s="19">
        <f t="shared" si="0"/>
        <v>4</v>
      </c>
      <c r="Q1" s="19">
        <f t="shared" si="0"/>
        <v>4</v>
      </c>
      <c r="R1" s="19">
        <f t="shared" si="0"/>
        <v>4</v>
      </c>
      <c r="S1" s="19">
        <f t="shared" si="0"/>
        <v>1</v>
      </c>
      <c r="T1" s="19">
        <f t="shared" si="0"/>
        <v>1</v>
      </c>
      <c r="U1" s="19">
        <f t="shared" si="0"/>
        <v>1</v>
      </c>
      <c r="V1" s="19">
        <f t="shared" si="0"/>
        <v>2</v>
      </c>
      <c r="W1" s="19">
        <f t="shared" si="0"/>
        <v>2</v>
      </c>
      <c r="X1" s="19">
        <f t="shared" si="0"/>
        <v>2</v>
      </c>
      <c r="Y1" s="19">
        <f t="shared" si="0"/>
        <v>3</v>
      </c>
      <c r="Z1" s="19">
        <f t="shared" si="0"/>
        <v>3</v>
      </c>
      <c r="AA1" s="19">
        <f t="shared" si="0"/>
        <v>3</v>
      </c>
      <c r="AB1" s="19">
        <f t="shared" si="0"/>
        <v>4</v>
      </c>
      <c r="AC1" s="19">
        <f t="shared" si="0"/>
        <v>4</v>
      </c>
      <c r="AD1" s="19">
        <f t="shared" si="0"/>
        <v>4</v>
      </c>
      <c r="AE1" s="19">
        <f t="shared" si="0"/>
        <v>1</v>
      </c>
      <c r="AF1" s="19">
        <f t="shared" si="0"/>
        <v>1</v>
      </c>
      <c r="AG1" s="19">
        <f t="shared" si="0"/>
        <v>1</v>
      </c>
      <c r="AH1" s="19">
        <f t="shared" si="0"/>
        <v>2</v>
      </c>
      <c r="AI1" s="19">
        <f t="shared" si="0"/>
        <v>2</v>
      </c>
      <c r="AJ1" s="19">
        <f t="shared" si="0"/>
        <v>2</v>
      </c>
      <c r="AK1" s="19">
        <f t="shared" si="0"/>
        <v>3</v>
      </c>
      <c r="AL1" s="19">
        <f t="shared" si="0"/>
        <v>3</v>
      </c>
      <c r="AM1" s="19">
        <f t="shared" si="0"/>
        <v>3</v>
      </c>
      <c r="AN1" s="19">
        <f t="shared" si="0"/>
        <v>4</v>
      </c>
      <c r="AO1" s="19">
        <f t="shared" si="0"/>
        <v>4</v>
      </c>
      <c r="AP1" s="19">
        <f t="shared" si="0"/>
        <v>4</v>
      </c>
      <c r="AQ1" s="19">
        <f t="shared" si="0"/>
        <v>1</v>
      </c>
      <c r="AR1" s="19">
        <f t="shared" si="0"/>
        <v>1</v>
      </c>
      <c r="AS1" s="19">
        <f t="shared" si="0"/>
        <v>1</v>
      </c>
      <c r="AT1" s="19">
        <f t="shared" si="0"/>
        <v>2</v>
      </c>
      <c r="AU1" s="19">
        <f t="shared" si="0"/>
        <v>2</v>
      </c>
      <c r="AV1" s="19">
        <f t="shared" si="0"/>
        <v>2</v>
      </c>
      <c r="AW1" s="19">
        <f t="shared" si="0"/>
        <v>3</v>
      </c>
      <c r="AX1" s="19">
        <f t="shared" si="0"/>
        <v>3</v>
      </c>
      <c r="AY1" s="19">
        <f t="shared" si="0"/>
        <v>3</v>
      </c>
      <c r="AZ1" s="19">
        <f t="shared" si="0"/>
        <v>4</v>
      </c>
      <c r="BA1" s="19">
        <f t="shared" si="0"/>
        <v>4</v>
      </c>
      <c r="BB1" s="19">
        <f t="shared" si="0"/>
        <v>4</v>
      </c>
      <c r="BC1" s="19">
        <f t="shared" si="0"/>
        <v>1</v>
      </c>
      <c r="BD1" s="19">
        <f t="shared" si="0"/>
        <v>1</v>
      </c>
      <c r="BE1" s="19">
        <f t="shared" si="0"/>
        <v>1</v>
      </c>
      <c r="BF1" s="19">
        <f t="shared" si="0"/>
        <v>2</v>
      </c>
      <c r="BG1" s="19">
        <f t="shared" si="0"/>
        <v>2</v>
      </c>
      <c r="BH1" s="19">
        <f t="shared" si="0"/>
        <v>2</v>
      </c>
      <c r="BI1" s="19">
        <f t="shared" si="0"/>
        <v>3</v>
      </c>
      <c r="BJ1" s="19">
        <f t="shared" si="0"/>
        <v>3</v>
      </c>
      <c r="BM1" s="2"/>
    </row>
    <row r="2" spans="1:116">
      <c r="A2" s="18" t="s">
        <v>7</v>
      </c>
      <c r="B2" s="18"/>
      <c r="C2" s="19">
        <f>YEAR(C3)</f>
        <v>2025</v>
      </c>
      <c r="D2" s="19">
        <f>YEAR(D3)</f>
        <v>2025</v>
      </c>
      <c r="E2" s="19">
        <f t="shared" ref="E2:BJ2" si="1">YEAR(E3)</f>
        <v>2025</v>
      </c>
      <c r="F2" s="19">
        <f t="shared" si="1"/>
        <v>2025</v>
      </c>
      <c r="G2" s="19">
        <f t="shared" si="1"/>
        <v>2026</v>
      </c>
      <c r="H2" s="19">
        <f t="shared" si="1"/>
        <v>2026</v>
      </c>
      <c r="I2" s="19">
        <f t="shared" si="1"/>
        <v>2026</v>
      </c>
      <c r="J2" s="19">
        <f t="shared" si="1"/>
        <v>2026</v>
      </c>
      <c r="K2" s="19">
        <f t="shared" si="1"/>
        <v>2026</v>
      </c>
      <c r="L2" s="19">
        <f t="shared" si="1"/>
        <v>2026</v>
      </c>
      <c r="M2" s="19">
        <f t="shared" si="1"/>
        <v>2026</v>
      </c>
      <c r="N2" s="19">
        <f t="shared" si="1"/>
        <v>2026</v>
      </c>
      <c r="O2" s="19">
        <f t="shared" si="1"/>
        <v>2026</v>
      </c>
      <c r="P2" s="19">
        <f t="shared" si="1"/>
        <v>2026</v>
      </c>
      <c r="Q2" s="19">
        <f t="shared" si="1"/>
        <v>2026</v>
      </c>
      <c r="R2" s="19">
        <f t="shared" si="1"/>
        <v>2026</v>
      </c>
      <c r="S2" s="19">
        <f t="shared" si="1"/>
        <v>2027</v>
      </c>
      <c r="T2" s="19">
        <f t="shared" si="1"/>
        <v>2027</v>
      </c>
      <c r="U2" s="19">
        <f t="shared" si="1"/>
        <v>2027</v>
      </c>
      <c r="V2" s="19">
        <f t="shared" si="1"/>
        <v>2027</v>
      </c>
      <c r="W2" s="19">
        <f t="shared" si="1"/>
        <v>2027</v>
      </c>
      <c r="X2" s="19">
        <f t="shared" si="1"/>
        <v>2027</v>
      </c>
      <c r="Y2" s="19">
        <f t="shared" si="1"/>
        <v>2027</v>
      </c>
      <c r="Z2" s="19">
        <f t="shared" si="1"/>
        <v>2027</v>
      </c>
      <c r="AA2" s="19">
        <f t="shared" si="1"/>
        <v>2027</v>
      </c>
      <c r="AB2" s="19">
        <f t="shared" si="1"/>
        <v>2027</v>
      </c>
      <c r="AC2" s="19">
        <f t="shared" si="1"/>
        <v>2027</v>
      </c>
      <c r="AD2" s="19">
        <f t="shared" si="1"/>
        <v>2027</v>
      </c>
      <c r="AE2" s="19">
        <f t="shared" si="1"/>
        <v>2028</v>
      </c>
      <c r="AF2" s="19">
        <f t="shared" si="1"/>
        <v>2028</v>
      </c>
      <c r="AG2" s="19">
        <f t="shared" si="1"/>
        <v>2028</v>
      </c>
      <c r="AH2" s="19">
        <f t="shared" si="1"/>
        <v>2028</v>
      </c>
      <c r="AI2" s="19">
        <f t="shared" si="1"/>
        <v>2028</v>
      </c>
      <c r="AJ2" s="19">
        <f t="shared" si="1"/>
        <v>2028</v>
      </c>
      <c r="AK2" s="19">
        <f t="shared" si="1"/>
        <v>2028</v>
      </c>
      <c r="AL2" s="19">
        <f t="shared" si="1"/>
        <v>2028</v>
      </c>
      <c r="AM2" s="19">
        <f t="shared" si="1"/>
        <v>2028</v>
      </c>
      <c r="AN2" s="19">
        <f t="shared" si="1"/>
        <v>2028</v>
      </c>
      <c r="AO2" s="19">
        <f t="shared" si="1"/>
        <v>2028</v>
      </c>
      <c r="AP2" s="19">
        <f t="shared" si="1"/>
        <v>2028</v>
      </c>
      <c r="AQ2" s="19">
        <f t="shared" si="1"/>
        <v>2029</v>
      </c>
      <c r="AR2" s="19">
        <f t="shared" si="1"/>
        <v>2029</v>
      </c>
      <c r="AS2" s="19">
        <f t="shared" si="1"/>
        <v>2029</v>
      </c>
      <c r="AT2" s="19">
        <f t="shared" si="1"/>
        <v>2029</v>
      </c>
      <c r="AU2" s="19">
        <f t="shared" si="1"/>
        <v>2029</v>
      </c>
      <c r="AV2" s="19">
        <f t="shared" si="1"/>
        <v>2029</v>
      </c>
      <c r="AW2" s="19">
        <f t="shared" si="1"/>
        <v>2029</v>
      </c>
      <c r="AX2" s="19">
        <f t="shared" si="1"/>
        <v>2029</v>
      </c>
      <c r="AY2" s="19">
        <f t="shared" si="1"/>
        <v>2029</v>
      </c>
      <c r="AZ2" s="19">
        <f t="shared" si="1"/>
        <v>2029</v>
      </c>
      <c r="BA2" s="19">
        <f t="shared" si="1"/>
        <v>2029</v>
      </c>
      <c r="BB2" s="19">
        <f t="shared" si="1"/>
        <v>2029</v>
      </c>
      <c r="BC2" s="19">
        <f t="shared" si="1"/>
        <v>2030</v>
      </c>
      <c r="BD2" s="19">
        <f t="shared" si="1"/>
        <v>2030</v>
      </c>
      <c r="BE2" s="19">
        <f t="shared" si="1"/>
        <v>2030</v>
      </c>
      <c r="BF2" s="19">
        <f t="shared" si="1"/>
        <v>2030</v>
      </c>
      <c r="BG2" s="19">
        <f t="shared" si="1"/>
        <v>2030</v>
      </c>
      <c r="BH2" s="19">
        <f t="shared" si="1"/>
        <v>2030</v>
      </c>
      <c r="BI2" s="19">
        <f t="shared" si="1"/>
        <v>2030</v>
      </c>
      <c r="BJ2" s="19">
        <f t="shared" si="1"/>
        <v>2030</v>
      </c>
      <c r="BL2" s="23">
        <f>YEAR(Допущения!C4)</f>
        <v>2025</v>
      </c>
      <c r="BM2" s="23">
        <f t="shared" ref="BM2:BO2" si="2">BL2+1</f>
        <v>2026</v>
      </c>
      <c r="BN2" s="23">
        <f t="shared" si="2"/>
        <v>2027</v>
      </c>
      <c r="BO2" s="23">
        <f t="shared" si="2"/>
        <v>2028</v>
      </c>
      <c r="BP2" s="23">
        <f t="shared" ref="BP2" si="3">BO2+1</f>
        <v>2029</v>
      </c>
      <c r="BQ2" s="23">
        <f t="shared" ref="BQ2" si="4">BP2+1</f>
        <v>2030</v>
      </c>
    </row>
    <row r="3" spans="1:116">
      <c r="A3" s="18" t="s">
        <v>8</v>
      </c>
      <c r="B3" s="18"/>
      <c r="C3" s="20">
        <f>Допущения!C4</f>
        <v>45901</v>
      </c>
      <c r="D3" s="20">
        <f t="shared" ref="D3:O3" si="5">DATE(YEAR(C3),MONTH(C3)+1,1)</f>
        <v>45931</v>
      </c>
      <c r="E3" s="20">
        <f t="shared" si="5"/>
        <v>45962</v>
      </c>
      <c r="F3" s="20">
        <f t="shared" si="5"/>
        <v>45992</v>
      </c>
      <c r="G3" s="20">
        <f t="shared" si="5"/>
        <v>46023</v>
      </c>
      <c r="H3" s="20">
        <f t="shared" si="5"/>
        <v>46054</v>
      </c>
      <c r="I3" s="20">
        <f t="shared" si="5"/>
        <v>46082</v>
      </c>
      <c r="J3" s="20">
        <f t="shared" si="5"/>
        <v>46113</v>
      </c>
      <c r="K3" s="20">
        <f t="shared" si="5"/>
        <v>46143</v>
      </c>
      <c r="L3" s="20">
        <f t="shared" si="5"/>
        <v>46174</v>
      </c>
      <c r="M3" s="20">
        <f t="shared" si="5"/>
        <v>46204</v>
      </c>
      <c r="N3" s="20">
        <f t="shared" si="5"/>
        <v>46235</v>
      </c>
      <c r="O3" s="20">
        <f t="shared" si="5"/>
        <v>46266</v>
      </c>
      <c r="P3" s="20">
        <f t="shared" ref="P3:AL3" si="6">DATE(YEAR(O3),MONTH(O3)+1,1)</f>
        <v>46296</v>
      </c>
      <c r="Q3" s="20">
        <f t="shared" si="6"/>
        <v>46327</v>
      </c>
      <c r="R3" s="20">
        <f t="shared" si="6"/>
        <v>46357</v>
      </c>
      <c r="S3" s="20">
        <f t="shared" si="6"/>
        <v>46388</v>
      </c>
      <c r="T3" s="20">
        <f t="shared" si="6"/>
        <v>46419</v>
      </c>
      <c r="U3" s="20">
        <f t="shared" si="6"/>
        <v>46447</v>
      </c>
      <c r="V3" s="20">
        <f t="shared" si="6"/>
        <v>46478</v>
      </c>
      <c r="W3" s="20">
        <f t="shared" si="6"/>
        <v>46508</v>
      </c>
      <c r="X3" s="20">
        <f t="shared" si="6"/>
        <v>46539</v>
      </c>
      <c r="Y3" s="20">
        <f t="shared" si="6"/>
        <v>46569</v>
      </c>
      <c r="Z3" s="20">
        <f t="shared" si="6"/>
        <v>46600</v>
      </c>
      <c r="AA3" s="20">
        <f t="shared" si="6"/>
        <v>46631</v>
      </c>
      <c r="AB3" s="20">
        <f t="shared" si="6"/>
        <v>46661</v>
      </c>
      <c r="AC3" s="20">
        <f t="shared" si="6"/>
        <v>46692</v>
      </c>
      <c r="AD3" s="20">
        <f t="shared" si="6"/>
        <v>46722</v>
      </c>
      <c r="AE3" s="20">
        <f t="shared" si="6"/>
        <v>46753</v>
      </c>
      <c r="AF3" s="20">
        <f t="shared" si="6"/>
        <v>46784</v>
      </c>
      <c r="AG3" s="20">
        <f t="shared" si="6"/>
        <v>46813</v>
      </c>
      <c r="AH3" s="20">
        <f t="shared" si="6"/>
        <v>46844</v>
      </c>
      <c r="AI3" s="20">
        <f t="shared" si="6"/>
        <v>46874</v>
      </c>
      <c r="AJ3" s="20">
        <f t="shared" si="6"/>
        <v>46905</v>
      </c>
      <c r="AK3" s="20">
        <f t="shared" si="6"/>
        <v>46935</v>
      </c>
      <c r="AL3" s="20">
        <f t="shared" si="6"/>
        <v>46966</v>
      </c>
      <c r="AM3" s="20">
        <f t="shared" ref="AM3:BI3" si="7">DATE(YEAR(AL3),MONTH(AL3)+1,1)</f>
        <v>46997</v>
      </c>
      <c r="AN3" s="20">
        <f t="shared" si="7"/>
        <v>47027</v>
      </c>
      <c r="AO3" s="20">
        <f t="shared" si="7"/>
        <v>47058</v>
      </c>
      <c r="AP3" s="20">
        <f t="shared" si="7"/>
        <v>47088</v>
      </c>
      <c r="AQ3" s="20">
        <f t="shared" si="7"/>
        <v>47119</v>
      </c>
      <c r="AR3" s="20">
        <f t="shared" si="7"/>
        <v>47150</v>
      </c>
      <c r="AS3" s="20">
        <f t="shared" si="7"/>
        <v>47178</v>
      </c>
      <c r="AT3" s="20">
        <f t="shared" si="7"/>
        <v>47209</v>
      </c>
      <c r="AU3" s="20">
        <f t="shared" si="7"/>
        <v>47239</v>
      </c>
      <c r="AV3" s="20">
        <f t="shared" si="7"/>
        <v>47270</v>
      </c>
      <c r="AW3" s="20">
        <f t="shared" si="7"/>
        <v>47300</v>
      </c>
      <c r="AX3" s="20">
        <f t="shared" si="7"/>
        <v>47331</v>
      </c>
      <c r="AY3" s="20">
        <f t="shared" si="7"/>
        <v>47362</v>
      </c>
      <c r="AZ3" s="20">
        <f t="shared" si="7"/>
        <v>47392</v>
      </c>
      <c r="BA3" s="20">
        <f t="shared" si="7"/>
        <v>47423</v>
      </c>
      <c r="BB3" s="20">
        <f t="shared" si="7"/>
        <v>47453</v>
      </c>
      <c r="BC3" s="20">
        <f t="shared" si="7"/>
        <v>47484</v>
      </c>
      <c r="BD3" s="20">
        <f t="shared" si="7"/>
        <v>47515</v>
      </c>
      <c r="BE3" s="20">
        <f t="shared" si="7"/>
        <v>47543</v>
      </c>
      <c r="BF3" s="20">
        <f t="shared" si="7"/>
        <v>47574</v>
      </c>
      <c r="BG3" s="20">
        <f t="shared" si="7"/>
        <v>47604</v>
      </c>
      <c r="BH3" s="20">
        <f t="shared" si="7"/>
        <v>47635</v>
      </c>
      <c r="BI3" s="20">
        <f t="shared" si="7"/>
        <v>47665</v>
      </c>
      <c r="BJ3" s="20">
        <f t="shared" ref="BJ3:BK3" si="8">DATE(YEAR(BI3),MONTH(BI3)+1,1)</f>
        <v>47696</v>
      </c>
      <c r="BK3" s="9">
        <f t="shared" si="8"/>
        <v>47727</v>
      </c>
    </row>
    <row r="4" spans="1:116">
      <c r="A4" s="18" t="s">
        <v>10</v>
      </c>
      <c r="B4" s="18"/>
      <c r="C4" s="19">
        <f>D3-C3</f>
        <v>30</v>
      </c>
      <c r="D4" s="19">
        <f>E3-D3</f>
        <v>31</v>
      </c>
      <c r="E4" s="19">
        <f t="shared" ref="E4:AK4" si="9">F3-E3</f>
        <v>30</v>
      </c>
      <c r="F4" s="19">
        <f t="shared" si="9"/>
        <v>31</v>
      </c>
      <c r="G4" s="19">
        <f t="shared" si="9"/>
        <v>31</v>
      </c>
      <c r="H4" s="19">
        <f t="shared" si="9"/>
        <v>28</v>
      </c>
      <c r="I4" s="19">
        <f t="shared" si="9"/>
        <v>31</v>
      </c>
      <c r="J4" s="19">
        <f t="shared" si="9"/>
        <v>30</v>
      </c>
      <c r="K4" s="19">
        <f t="shared" si="9"/>
        <v>31</v>
      </c>
      <c r="L4" s="19">
        <f t="shared" si="9"/>
        <v>30</v>
      </c>
      <c r="M4" s="19">
        <f t="shared" si="9"/>
        <v>31</v>
      </c>
      <c r="N4" s="19">
        <f t="shared" si="9"/>
        <v>31</v>
      </c>
      <c r="O4" s="19">
        <f t="shared" si="9"/>
        <v>30</v>
      </c>
      <c r="P4" s="19">
        <f t="shared" si="9"/>
        <v>31</v>
      </c>
      <c r="Q4" s="19">
        <f t="shared" si="9"/>
        <v>30</v>
      </c>
      <c r="R4" s="19">
        <f t="shared" si="9"/>
        <v>31</v>
      </c>
      <c r="S4" s="19">
        <f t="shared" si="9"/>
        <v>31</v>
      </c>
      <c r="T4" s="19">
        <f t="shared" si="9"/>
        <v>28</v>
      </c>
      <c r="U4" s="19">
        <f t="shared" si="9"/>
        <v>31</v>
      </c>
      <c r="V4" s="19">
        <f t="shared" si="9"/>
        <v>30</v>
      </c>
      <c r="W4" s="19">
        <f t="shared" si="9"/>
        <v>31</v>
      </c>
      <c r="X4" s="19">
        <f t="shared" si="9"/>
        <v>30</v>
      </c>
      <c r="Y4" s="19">
        <f t="shared" si="9"/>
        <v>31</v>
      </c>
      <c r="Z4" s="19">
        <f t="shared" si="9"/>
        <v>31</v>
      </c>
      <c r="AA4" s="19">
        <f t="shared" si="9"/>
        <v>30</v>
      </c>
      <c r="AB4" s="19">
        <f t="shared" si="9"/>
        <v>31</v>
      </c>
      <c r="AC4" s="19">
        <f t="shared" si="9"/>
        <v>30</v>
      </c>
      <c r="AD4" s="19">
        <f t="shared" si="9"/>
        <v>31</v>
      </c>
      <c r="AE4" s="19">
        <f t="shared" si="9"/>
        <v>31</v>
      </c>
      <c r="AF4" s="19">
        <f t="shared" si="9"/>
        <v>29</v>
      </c>
      <c r="AG4" s="19">
        <f t="shared" si="9"/>
        <v>31</v>
      </c>
      <c r="AH4" s="19">
        <f t="shared" si="9"/>
        <v>30</v>
      </c>
      <c r="AI4" s="19">
        <f t="shared" si="9"/>
        <v>31</v>
      </c>
      <c r="AJ4" s="19">
        <f t="shared" si="9"/>
        <v>30</v>
      </c>
      <c r="AK4" s="19">
        <f t="shared" si="9"/>
        <v>31</v>
      </c>
      <c r="AL4" s="19">
        <f t="shared" ref="AL4:BH4" si="10">AM3-AL3</f>
        <v>31</v>
      </c>
      <c r="AM4" s="19">
        <f t="shared" si="10"/>
        <v>30</v>
      </c>
      <c r="AN4" s="19">
        <f t="shared" si="10"/>
        <v>31</v>
      </c>
      <c r="AO4" s="19">
        <f t="shared" si="10"/>
        <v>30</v>
      </c>
      <c r="AP4" s="19">
        <f t="shared" si="10"/>
        <v>31</v>
      </c>
      <c r="AQ4" s="19">
        <f t="shared" si="10"/>
        <v>31</v>
      </c>
      <c r="AR4" s="19">
        <f t="shared" si="10"/>
        <v>28</v>
      </c>
      <c r="AS4" s="19">
        <f t="shared" si="10"/>
        <v>31</v>
      </c>
      <c r="AT4" s="19">
        <f t="shared" si="10"/>
        <v>30</v>
      </c>
      <c r="AU4" s="19">
        <f t="shared" si="10"/>
        <v>31</v>
      </c>
      <c r="AV4" s="19">
        <f t="shared" si="10"/>
        <v>30</v>
      </c>
      <c r="AW4" s="19">
        <f t="shared" si="10"/>
        <v>31</v>
      </c>
      <c r="AX4" s="19">
        <f t="shared" si="10"/>
        <v>31</v>
      </c>
      <c r="AY4" s="19">
        <f t="shared" si="10"/>
        <v>30</v>
      </c>
      <c r="AZ4" s="19">
        <f t="shared" si="10"/>
        <v>31</v>
      </c>
      <c r="BA4" s="19">
        <f t="shared" si="10"/>
        <v>30</v>
      </c>
      <c r="BB4" s="19">
        <f t="shared" si="10"/>
        <v>31</v>
      </c>
      <c r="BC4" s="19">
        <f t="shared" si="10"/>
        <v>31</v>
      </c>
      <c r="BD4" s="19">
        <f t="shared" si="10"/>
        <v>28</v>
      </c>
      <c r="BE4" s="19">
        <f t="shared" si="10"/>
        <v>31</v>
      </c>
      <c r="BF4" s="19">
        <f t="shared" si="10"/>
        <v>30</v>
      </c>
      <c r="BG4" s="19">
        <f t="shared" si="10"/>
        <v>31</v>
      </c>
      <c r="BH4" s="19">
        <f t="shared" si="10"/>
        <v>30</v>
      </c>
      <c r="BI4" s="19">
        <f t="shared" ref="BI4:BJ4" si="11">BJ3-BI3</f>
        <v>31</v>
      </c>
      <c r="BJ4" s="19">
        <f t="shared" si="11"/>
        <v>31</v>
      </c>
    </row>
    <row r="5" spans="1:116">
      <c r="A5" s="18" t="s">
        <v>9</v>
      </c>
      <c r="B5" s="18"/>
      <c r="C5" s="19">
        <v>1</v>
      </c>
      <c r="D5" s="19">
        <f>C5+1</f>
        <v>2</v>
      </c>
      <c r="E5" s="19">
        <f t="shared" ref="E5:AL5" si="12">D5+1</f>
        <v>3</v>
      </c>
      <c r="F5" s="19">
        <f t="shared" si="12"/>
        <v>4</v>
      </c>
      <c r="G5" s="19">
        <f t="shared" si="12"/>
        <v>5</v>
      </c>
      <c r="H5" s="19">
        <f t="shared" si="12"/>
        <v>6</v>
      </c>
      <c r="I5" s="19">
        <f t="shared" si="12"/>
        <v>7</v>
      </c>
      <c r="J5" s="19">
        <f t="shared" si="12"/>
        <v>8</v>
      </c>
      <c r="K5" s="19">
        <f t="shared" si="12"/>
        <v>9</v>
      </c>
      <c r="L5" s="19">
        <f t="shared" si="12"/>
        <v>10</v>
      </c>
      <c r="M5" s="19">
        <f t="shared" si="12"/>
        <v>11</v>
      </c>
      <c r="N5" s="19">
        <f t="shared" si="12"/>
        <v>12</v>
      </c>
      <c r="O5" s="19">
        <f t="shared" si="12"/>
        <v>13</v>
      </c>
      <c r="P5" s="19">
        <f t="shared" si="12"/>
        <v>14</v>
      </c>
      <c r="Q5" s="19">
        <f t="shared" si="12"/>
        <v>15</v>
      </c>
      <c r="R5" s="19">
        <f t="shared" si="12"/>
        <v>16</v>
      </c>
      <c r="S5" s="19">
        <f t="shared" si="12"/>
        <v>17</v>
      </c>
      <c r="T5" s="19">
        <f t="shared" si="12"/>
        <v>18</v>
      </c>
      <c r="U5" s="19">
        <f t="shared" si="12"/>
        <v>19</v>
      </c>
      <c r="V5" s="19">
        <f t="shared" si="12"/>
        <v>20</v>
      </c>
      <c r="W5" s="19">
        <f t="shared" si="12"/>
        <v>21</v>
      </c>
      <c r="X5" s="19">
        <f t="shared" si="12"/>
        <v>22</v>
      </c>
      <c r="Y5" s="19">
        <f t="shared" si="12"/>
        <v>23</v>
      </c>
      <c r="Z5" s="19">
        <f t="shared" si="12"/>
        <v>24</v>
      </c>
      <c r="AA5" s="19">
        <f t="shared" si="12"/>
        <v>25</v>
      </c>
      <c r="AB5" s="19">
        <f t="shared" si="12"/>
        <v>26</v>
      </c>
      <c r="AC5" s="19">
        <f t="shared" si="12"/>
        <v>27</v>
      </c>
      <c r="AD5" s="19">
        <f t="shared" si="12"/>
        <v>28</v>
      </c>
      <c r="AE5" s="19">
        <f t="shared" si="12"/>
        <v>29</v>
      </c>
      <c r="AF5" s="19">
        <f t="shared" si="12"/>
        <v>30</v>
      </c>
      <c r="AG5" s="19">
        <f t="shared" si="12"/>
        <v>31</v>
      </c>
      <c r="AH5" s="19">
        <f t="shared" si="12"/>
        <v>32</v>
      </c>
      <c r="AI5" s="19">
        <f t="shared" si="12"/>
        <v>33</v>
      </c>
      <c r="AJ5" s="19">
        <f>AI5+1</f>
        <v>34</v>
      </c>
      <c r="AK5" s="19">
        <f t="shared" si="12"/>
        <v>35</v>
      </c>
      <c r="AL5" s="19">
        <f t="shared" si="12"/>
        <v>36</v>
      </c>
      <c r="AM5" s="19">
        <f t="shared" ref="AM5:BH5" si="13">AL5+1</f>
        <v>37</v>
      </c>
      <c r="AN5" s="19">
        <f t="shared" si="13"/>
        <v>38</v>
      </c>
      <c r="AO5" s="19">
        <f t="shared" si="13"/>
        <v>39</v>
      </c>
      <c r="AP5" s="19">
        <f t="shared" si="13"/>
        <v>40</v>
      </c>
      <c r="AQ5" s="19">
        <f t="shared" si="13"/>
        <v>41</v>
      </c>
      <c r="AR5" s="19">
        <f t="shared" si="13"/>
        <v>42</v>
      </c>
      <c r="AS5" s="19">
        <f t="shared" si="13"/>
        <v>43</v>
      </c>
      <c r="AT5" s="19">
        <f t="shared" si="13"/>
        <v>44</v>
      </c>
      <c r="AU5" s="19">
        <f t="shared" si="13"/>
        <v>45</v>
      </c>
      <c r="AV5" s="19">
        <f t="shared" si="13"/>
        <v>46</v>
      </c>
      <c r="AW5" s="19">
        <f t="shared" si="13"/>
        <v>47</v>
      </c>
      <c r="AX5" s="19">
        <f t="shared" si="13"/>
        <v>48</v>
      </c>
      <c r="AY5" s="19">
        <f t="shared" si="13"/>
        <v>49</v>
      </c>
      <c r="AZ5" s="19">
        <f t="shared" si="13"/>
        <v>50</v>
      </c>
      <c r="BA5" s="19">
        <f t="shared" si="13"/>
        <v>51</v>
      </c>
      <c r="BB5" s="19">
        <f t="shared" si="13"/>
        <v>52</v>
      </c>
      <c r="BC5" s="19">
        <f t="shared" si="13"/>
        <v>53</v>
      </c>
      <c r="BD5" s="19">
        <f t="shared" si="13"/>
        <v>54</v>
      </c>
      <c r="BE5" s="19">
        <f t="shared" si="13"/>
        <v>55</v>
      </c>
      <c r="BF5" s="19">
        <f t="shared" si="13"/>
        <v>56</v>
      </c>
      <c r="BG5" s="19">
        <f t="shared" si="13"/>
        <v>57</v>
      </c>
      <c r="BH5" s="19">
        <f t="shared" si="13"/>
        <v>58</v>
      </c>
      <c r="BI5" s="19">
        <f t="shared" ref="BI5" si="14">BH5+1</f>
        <v>59</v>
      </c>
      <c r="BJ5" s="19">
        <f t="shared" ref="BJ5" si="15">BI5+1</f>
        <v>60</v>
      </c>
    </row>
    <row r="6" spans="1:116"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L6" s="4"/>
      <c r="BN6" s="4"/>
      <c r="BP6" s="4"/>
      <c r="BQ6" s="4"/>
      <c r="BR6" s="4"/>
      <c r="BT6" s="4"/>
      <c r="BV6" s="4"/>
      <c r="BX6" s="4"/>
      <c r="BZ6" s="4"/>
      <c r="CB6" s="4"/>
      <c r="CD6" s="4"/>
      <c r="CF6" s="4"/>
      <c r="CH6" s="4"/>
      <c r="CJ6" s="4"/>
      <c r="CL6" s="4"/>
      <c r="CN6" s="4"/>
      <c r="CP6" s="4"/>
      <c r="CR6" s="4"/>
      <c r="CT6" s="4"/>
      <c r="CV6" s="4"/>
      <c r="CX6" s="4"/>
      <c r="CZ6" s="4"/>
      <c r="DB6" s="4"/>
      <c r="DD6" s="4"/>
      <c r="DF6" s="4"/>
      <c r="DH6" s="4"/>
      <c r="DJ6" s="4"/>
      <c r="DL6" s="4"/>
    </row>
    <row r="7" spans="1:116" ht="32" customHeight="1">
      <c r="A7" s="34" t="s">
        <v>243</v>
      </c>
      <c r="B7" s="19" t="s">
        <v>1</v>
      </c>
      <c r="C7" s="231">
        <v>0</v>
      </c>
      <c r="D7" s="231">
        <v>0</v>
      </c>
      <c r="E7" s="231">
        <v>0</v>
      </c>
      <c r="F7" s="231">
        <v>0.2</v>
      </c>
      <c r="G7" s="231">
        <v>0.4</v>
      </c>
      <c r="H7" s="231">
        <v>0.6</v>
      </c>
      <c r="I7" s="231">
        <v>0.8</v>
      </c>
      <c r="J7" s="231">
        <v>1</v>
      </c>
      <c r="K7" s="231">
        <v>1</v>
      </c>
      <c r="L7" s="231">
        <v>1</v>
      </c>
      <c r="M7" s="231">
        <v>1</v>
      </c>
      <c r="N7" s="231">
        <v>1</v>
      </c>
      <c r="O7" s="231">
        <v>1</v>
      </c>
      <c r="P7" s="231">
        <v>1</v>
      </c>
      <c r="Q7" s="231">
        <v>1</v>
      </c>
      <c r="R7" s="231">
        <v>1</v>
      </c>
      <c r="S7" s="231">
        <v>1</v>
      </c>
      <c r="T7" s="231">
        <v>1</v>
      </c>
      <c r="U7" s="231">
        <v>1</v>
      </c>
      <c r="V7" s="231">
        <v>1</v>
      </c>
      <c r="W7" s="231">
        <v>1</v>
      </c>
      <c r="X7" s="231">
        <v>1</v>
      </c>
      <c r="Y7" s="231">
        <v>1</v>
      </c>
      <c r="Z7" s="231">
        <v>1</v>
      </c>
      <c r="AA7" s="231">
        <v>1</v>
      </c>
      <c r="AB7" s="231">
        <v>1</v>
      </c>
      <c r="AC7" s="231">
        <v>1</v>
      </c>
      <c r="AD7" s="231">
        <v>1</v>
      </c>
      <c r="AE7" s="231">
        <v>1</v>
      </c>
      <c r="AF7" s="231">
        <v>1</v>
      </c>
      <c r="AG7" s="231">
        <v>1</v>
      </c>
      <c r="AH7" s="231">
        <v>1</v>
      </c>
      <c r="AI7" s="231">
        <v>1</v>
      </c>
      <c r="AJ7" s="231">
        <v>1</v>
      </c>
      <c r="AK7" s="231">
        <v>1</v>
      </c>
      <c r="AL7" s="231">
        <v>1</v>
      </c>
      <c r="AM7" s="231">
        <v>1</v>
      </c>
      <c r="AN7" s="231">
        <v>1</v>
      </c>
      <c r="AO7" s="231">
        <v>1</v>
      </c>
      <c r="AP7" s="231">
        <v>1</v>
      </c>
      <c r="AQ7" s="231">
        <v>1</v>
      </c>
      <c r="AR7" s="231">
        <v>1</v>
      </c>
      <c r="AS7" s="231">
        <v>1</v>
      </c>
      <c r="AT7" s="231">
        <v>1</v>
      </c>
      <c r="AU7" s="231">
        <v>1</v>
      </c>
      <c r="AV7" s="231">
        <v>1</v>
      </c>
      <c r="AW7" s="231">
        <v>1</v>
      </c>
      <c r="AX7" s="231">
        <v>1</v>
      </c>
      <c r="AY7" s="231">
        <v>1</v>
      </c>
      <c r="AZ7" s="231">
        <v>1</v>
      </c>
      <c r="BA7" s="231">
        <v>1</v>
      </c>
      <c r="BB7" s="231">
        <v>1</v>
      </c>
      <c r="BC7" s="231">
        <v>1</v>
      </c>
      <c r="BD7" s="231">
        <v>1</v>
      </c>
      <c r="BE7" s="231">
        <v>1</v>
      </c>
      <c r="BF7" s="231">
        <v>1</v>
      </c>
      <c r="BG7" s="231">
        <v>1</v>
      </c>
      <c r="BH7" s="231">
        <v>1</v>
      </c>
      <c r="BI7" s="231">
        <v>1</v>
      </c>
      <c r="BJ7" s="231">
        <v>1</v>
      </c>
      <c r="BL7" s="4"/>
      <c r="BM7" s="4"/>
      <c r="BN7" s="4"/>
      <c r="BO7" s="4"/>
      <c r="BP7" s="4"/>
      <c r="BQ7" s="4"/>
    </row>
    <row r="8" spans="1:116" s="219" customFormat="1">
      <c r="A8" s="232" t="str">
        <f>Допущения!A8</f>
        <v>Свиные полутуши</v>
      </c>
      <c r="B8" s="233" t="str">
        <f>Допущения!B8</f>
        <v>кг/мес.</v>
      </c>
      <c r="C8" s="57">
        <f>ROUND(Допущения!$C8*'Объемы реализации'!C$7*SUMIF(Сезонность!$B$1:$M$1,MONTH('Объемы реализации'!C$3),Сезонность!$B$3:$M$3),0)</f>
        <v>0</v>
      </c>
      <c r="D8" s="57">
        <f>ROUND(Допущения!$C8*'Объемы реализации'!D$7*SUMIF(Сезонность!$B$1:$M$1,MONTH('Объемы реализации'!D$3),Сезонность!$B$3:$M$3),0)</f>
        <v>0</v>
      </c>
      <c r="E8" s="57">
        <f>ROUND(Допущения!$C8*'Объемы реализации'!E$7*SUMIF(Сезонность!$B$1:$M$1,MONTH('Объемы реализации'!E$3),Сезонность!$B$3:$M$3),0)</f>
        <v>0</v>
      </c>
      <c r="F8" s="57">
        <f>ROUND(Допущения!$C8*'Объемы реализации'!F$7*SUMIF(Сезонность!$B$1:$M$1,MONTH('Объемы реализации'!F$3),Сезонность!$B$3:$M$3),0)</f>
        <v>48000</v>
      </c>
      <c r="G8" s="57">
        <f>ROUND(Допущения!$C8*'Объемы реализации'!G$7*SUMIF(Сезонность!$B$1:$M$1,MONTH('Объемы реализации'!G$3),Сезонность!$B$3:$M$3),0)</f>
        <v>96000</v>
      </c>
      <c r="H8" s="57">
        <f>ROUND(Допущения!$C8*'Объемы реализации'!H$7*SUMIF(Сезонность!$B$1:$M$1,MONTH('Объемы реализации'!H$3),Сезонность!$B$3:$M$3),0)</f>
        <v>144000</v>
      </c>
      <c r="I8" s="57">
        <f>ROUND(Допущения!$C8*'Объемы реализации'!I$7*SUMIF(Сезонность!$B$1:$M$1,MONTH('Объемы реализации'!I$3),Сезонность!$B$3:$M$3),0)</f>
        <v>192000</v>
      </c>
      <c r="J8" s="57">
        <f>ROUND(Допущения!$C8*'Объемы реализации'!J$7*SUMIF(Сезонность!$B$1:$M$1,MONTH('Объемы реализации'!J$3),Сезонность!$B$3:$M$3),0)</f>
        <v>240000</v>
      </c>
      <c r="K8" s="57">
        <f>ROUND(Допущения!$C8*'Объемы реализации'!K$7*SUMIF(Сезонность!$B$1:$M$1,MONTH('Объемы реализации'!K$3),Сезонность!$B$3:$M$3),0)</f>
        <v>240000</v>
      </c>
      <c r="L8" s="57">
        <f>ROUND(Допущения!$C8*'Объемы реализации'!L$7*SUMIF(Сезонность!$B$1:$M$1,MONTH('Объемы реализации'!L$3),Сезонность!$B$3:$M$3),0)</f>
        <v>240000</v>
      </c>
      <c r="M8" s="57">
        <f>ROUND(Допущения!$C8*'Объемы реализации'!M$7*SUMIF(Сезонность!$B$1:$M$1,MONTH('Объемы реализации'!M$3),Сезонность!$B$3:$M$3),0)</f>
        <v>240000</v>
      </c>
      <c r="N8" s="57">
        <f>ROUND(Допущения!$C8*'Объемы реализации'!N$7*SUMIF(Сезонность!$B$1:$M$1,MONTH('Объемы реализации'!N$3),Сезонность!$B$3:$M$3),0)</f>
        <v>240000</v>
      </c>
      <c r="O8" s="57">
        <f>ROUND(Допущения!$C8*'Объемы реализации'!O$7*SUMIF(Сезонность!$B$1:$M$1,MONTH('Объемы реализации'!O$3),Сезонность!$B$3:$M$3),0)</f>
        <v>240000</v>
      </c>
      <c r="P8" s="57">
        <f>ROUND(Допущения!$C8*'Объемы реализации'!P$7*SUMIF(Сезонность!$B$1:$M$1,MONTH('Объемы реализации'!P$3),Сезонность!$B$3:$M$3),0)</f>
        <v>240000</v>
      </c>
      <c r="Q8" s="57">
        <f>ROUND(Допущения!$C8*'Объемы реализации'!Q$7*SUMIF(Сезонность!$B$1:$M$1,MONTH('Объемы реализации'!Q$3),Сезонность!$B$3:$M$3),0)</f>
        <v>240000</v>
      </c>
      <c r="R8" s="57">
        <f>ROUND(Допущения!$C8*'Объемы реализации'!R$7*SUMIF(Сезонность!$B$1:$M$1,MONTH('Объемы реализации'!R$3),Сезонность!$B$3:$M$3),0)</f>
        <v>240000</v>
      </c>
      <c r="S8" s="57">
        <f>ROUND(Допущения!$C8*'Объемы реализации'!S$7*SUMIF(Сезонность!$B$1:$M$1,MONTH('Объемы реализации'!S$3),Сезонность!$B$3:$M$3),0)</f>
        <v>240000</v>
      </c>
      <c r="T8" s="57">
        <f>ROUND(Допущения!$C8*'Объемы реализации'!T$7*SUMIF(Сезонность!$B$1:$M$1,MONTH('Объемы реализации'!T$3),Сезонность!$B$3:$M$3),0)</f>
        <v>240000</v>
      </c>
      <c r="U8" s="57">
        <f>ROUND(Допущения!$C8*'Объемы реализации'!U$7*SUMIF(Сезонность!$B$1:$M$1,MONTH('Объемы реализации'!U$3),Сезонность!$B$3:$M$3),0)</f>
        <v>240000</v>
      </c>
      <c r="V8" s="57">
        <f>ROUND(Допущения!$C8*'Объемы реализации'!V$7*SUMIF(Сезонность!$B$1:$M$1,MONTH('Объемы реализации'!V$3),Сезонность!$B$3:$M$3),0)</f>
        <v>240000</v>
      </c>
      <c r="W8" s="57">
        <f>ROUND(Допущения!$C8*'Объемы реализации'!W$7*SUMIF(Сезонность!$B$1:$M$1,MONTH('Объемы реализации'!W$3),Сезонность!$B$3:$M$3),0)</f>
        <v>240000</v>
      </c>
      <c r="X8" s="57">
        <f>ROUND(Допущения!$C8*'Объемы реализации'!X$7*SUMIF(Сезонность!$B$1:$M$1,MONTH('Объемы реализации'!X$3),Сезонность!$B$3:$M$3),0)</f>
        <v>240000</v>
      </c>
      <c r="Y8" s="57">
        <f>ROUND(Допущения!$C8*'Объемы реализации'!Y$7*SUMIF(Сезонность!$B$1:$M$1,MONTH('Объемы реализации'!Y$3),Сезонность!$B$3:$M$3),0)</f>
        <v>240000</v>
      </c>
      <c r="Z8" s="57">
        <f>ROUND(Допущения!$C8*'Объемы реализации'!Z$7*SUMIF(Сезонность!$B$1:$M$1,MONTH('Объемы реализации'!Z$3),Сезонность!$B$3:$M$3),0)</f>
        <v>240000</v>
      </c>
      <c r="AA8" s="57">
        <f>ROUND(Допущения!$C8*'Объемы реализации'!AA$7*SUMIF(Сезонность!$B$1:$M$1,MONTH('Объемы реализации'!AA$3),Сезонность!$B$3:$M$3),0)</f>
        <v>240000</v>
      </c>
      <c r="AB8" s="57">
        <f>ROUND(Допущения!$C8*'Объемы реализации'!AB$7*SUMIF(Сезонность!$B$1:$M$1,MONTH('Объемы реализации'!AB$3),Сезонность!$B$3:$M$3),0)</f>
        <v>240000</v>
      </c>
      <c r="AC8" s="57">
        <f>ROUND(Допущения!$C8*'Объемы реализации'!AC$7*SUMIF(Сезонность!$B$1:$M$1,MONTH('Объемы реализации'!AC$3),Сезонность!$B$3:$M$3),0)</f>
        <v>240000</v>
      </c>
      <c r="AD8" s="57">
        <f>ROUND(Допущения!$C8*'Объемы реализации'!AD$7*SUMIF(Сезонность!$B$1:$M$1,MONTH('Объемы реализации'!AD$3),Сезонность!$B$3:$M$3),0)</f>
        <v>240000</v>
      </c>
      <c r="AE8" s="57">
        <f>ROUND(Допущения!$C8*'Объемы реализации'!AE$7*SUMIF(Сезонность!$B$1:$M$1,MONTH('Объемы реализации'!AE$3),Сезонность!$B$3:$M$3),0)</f>
        <v>240000</v>
      </c>
      <c r="AF8" s="57">
        <f>ROUND(Допущения!$C8*'Объемы реализации'!AF$7*SUMIF(Сезонность!$B$1:$M$1,MONTH('Объемы реализации'!AF$3),Сезонность!$B$3:$M$3),0)</f>
        <v>240000</v>
      </c>
      <c r="AG8" s="57">
        <f>ROUND(Допущения!$C8*'Объемы реализации'!AG$7*SUMIF(Сезонность!$B$1:$M$1,MONTH('Объемы реализации'!AG$3),Сезонность!$B$3:$M$3),0)</f>
        <v>240000</v>
      </c>
      <c r="AH8" s="57">
        <f>ROUND(Допущения!$C8*'Объемы реализации'!AH$7*SUMIF(Сезонность!$B$1:$M$1,MONTH('Объемы реализации'!AH$3),Сезонность!$B$3:$M$3),0)</f>
        <v>240000</v>
      </c>
      <c r="AI8" s="57">
        <f>ROUND(Допущения!$C8*'Объемы реализации'!AI$7*SUMIF(Сезонность!$B$1:$M$1,MONTH('Объемы реализации'!AI$3),Сезонность!$B$3:$M$3),0)</f>
        <v>240000</v>
      </c>
      <c r="AJ8" s="57">
        <f>ROUND(Допущения!$C8*'Объемы реализации'!AJ$7*SUMIF(Сезонность!$B$1:$M$1,MONTH('Объемы реализации'!AJ$3),Сезонность!$B$3:$M$3),0)</f>
        <v>240000</v>
      </c>
      <c r="AK8" s="57">
        <f>ROUND(Допущения!$C8*'Объемы реализации'!AK$7*SUMIF(Сезонность!$B$1:$M$1,MONTH('Объемы реализации'!AK$3),Сезонность!$B$3:$M$3),0)</f>
        <v>240000</v>
      </c>
      <c r="AL8" s="57">
        <f>ROUND(Допущения!$C8*'Объемы реализации'!AL$7*SUMIF(Сезонность!$B$1:$M$1,MONTH('Объемы реализации'!AL$3),Сезонность!$B$3:$M$3),0)</f>
        <v>240000</v>
      </c>
      <c r="AM8" s="57">
        <f>ROUND(Допущения!$C8*'Объемы реализации'!AM$7*SUMIF(Сезонность!$B$1:$M$1,MONTH('Объемы реализации'!AM$3),Сезонность!$B$3:$M$3),0)</f>
        <v>240000</v>
      </c>
      <c r="AN8" s="57">
        <f>ROUND(Допущения!$C8*'Объемы реализации'!AN$7*SUMIF(Сезонность!$B$1:$M$1,MONTH('Объемы реализации'!AN$3),Сезонность!$B$3:$M$3),0)</f>
        <v>240000</v>
      </c>
      <c r="AO8" s="57">
        <f>ROUND(Допущения!$C8*'Объемы реализации'!AO$7*SUMIF(Сезонность!$B$1:$M$1,MONTH('Объемы реализации'!AO$3),Сезонность!$B$3:$M$3),0)</f>
        <v>240000</v>
      </c>
      <c r="AP8" s="57">
        <f>ROUND(Допущения!$C8*'Объемы реализации'!AP$7*SUMIF(Сезонность!$B$1:$M$1,MONTH('Объемы реализации'!AP$3),Сезонность!$B$3:$M$3),0)</f>
        <v>240000</v>
      </c>
      <c r="AQ8" s="57">
        <f>ROUND(Допущения!$C8*'Объемы реализации'!AQ$7*SUMIF(Сезонность!$B$1:$M$1,MONTH('Объемы реализации'!AQ$3),Сезонность!$B$3:$M$3),0)</f>
        <v>240000</v>
      </c>
      <c r="AR8" s="57">
        <f>ROUND(Допущения!$C8*'Объемы реализации'!AR$7*SUMIF(Сезонность!$B$1:$M$1,MONTH('Объемы реализации'!AR$3),Сезонность!$B$3:$M$3),0)</f>
        <v>240000</v>
      </c>
      <c r="AS8" s="57">
        <f>ROUND(Допущения!$C8*'Объемы реализации'!AS$7*SUMIF(Сезонность!$B$1:$M$1,MONTH('Объемы реализации'!AS$3),Сезонность!$B$3:$M$3),0)</f>
        <v>240000</v>
      </c>
      <c r="AT8" s="57">
        <f>ROUND(Допущения!$C8*'Объемы реализации'!AT$7*SUMIF(Сезонность!$B$1:$M$1,MONTH('Объемы реализации'!AT$3),Сезонность!$B$3:$M$3),0)</f>
        <v>240000</v>
      </c>
      <c r="AU8" s="57">
        <f>ROUND(Допущения!$C8*'Объемы реализации'!AU$7*SUMIF(Сезонность!$B$1:$M$1,MONTH('Объемы реализации'!AU$3),Сезонность!$B$3:$M$3),0)</f>
        <v>240000</v>
      </c>
      <c r="AV8" s="57">
        <f>ROUND(Допущения!$C8*'Объемы реализации'!AV$7*SUMIF(Сезонность!$B$1:$M$1,MONTH('Объемы реализации'!AV$3),Сезонность!$B$3:$M$3),0)</f>
        <v>240000</v>
      </c>
      <c r="AW8" s="57">
        <f>ROUND(Допущения!$C8*'Объемы реализации'!AW$7*SUMIF(Сезонность!$B$1:$M$1,MONTH('Объемы реализации'!AW$3),Сезонность!$B$3:$M$3),0)</f>
        <v>240000</v>
      </c>
      <c r="AX8" s="57">
        <f>ROUND(Допущения!$C8*'Объемы реализации'!AX$7*SUMIF(Сезонность!$B$1:$M$1,MONTH('Объемы реализации'!AX$3),Сезонность!$B$3:$M$3),0)</f>
        <v>240000</v>
      </c>
      <c r="AY8" s="57">
        <f>ROUND(Допущения!$C8*'Объемы реализации'!AY$7*SUMIF(Сезонность!$B$1:$M$1,MONTH('Объемы реализации'!AY$3),Сезонность!$B$3:$M$3),0)</f>
        <v>240000</v>
      </c>
      <c r="AZ8" s="57">
        <f>ROUND(Допущения!$C8*'Объемы реализации'!AZ$7*SUMIF(Сезонность!$B$1:$M$1,MONTH('Объемы реализации'!AZ$3),Сезонность!$B$3:$M$3),0)</f>
        <v>240000</v>
      </c>
      <c r="BA8" s="57">
        <f>ROUND(Допущения!$C8*'Объемы реализации'!BA$7*SUMIF(Сезонность!$B$1:$M$1,MONTH('Объемы реализации'!BA$3),Сезонность!$B$3:$M$3),0)</f>
        <v>240000</v>
      </c>
      <c r="BB8" s="57">
        <f>ROUND(Допущения!$C8*'Объемы реализации'!BB$7*SUMIF(Сезонность!$B$1:$M$1,MONTH('Объемы реализации'!BB$3),Сезонность!$B$3:$M$3),0)</f>
        <v>240000</v>
      </c>
      <c r="BC8" s="57">
        <f>ROUND(Допущения!$C8*'Объемы реализации'!BC$7*SUMIF(Сезонность!$B$1:$M$1,MONTH('Объемы реализации'!BC$3),Сезонность!$B$3:$M$3),0)</f>
        <v>240000</v>
      </c>
      <c r="BD8" s="57">
        <f>ROUND(Допущения!$C8*'Объемы реализации'!BD$7*SUMIF(Сезонность!$B$1:$M$1,MONTH('Объемы реализации'!BD$3),Сезонность!$B$3:$M$3),0)</f>
        <v>240000</v>
      </c>
      <c r="BE8" s="57">
        <f>ROUND(Допущения!$C8*'Объемы реализации'!BE$7*SUMIF(Сезонность!$B$1:$M$1,MONTH('Объемы реализации'!BE$3),Сезонность!$B$3:$M$3),0)</f>
        <v>240000</v>
      </c>
      <c r="BF8" s="57">
        <f>ROUND(Допущения!$C8*'Объемы реализации'!BF$7*SUMIF(Сезонность!$B$1:$M$1,MONTH('Объемы реализации'!BF$3),Сезонность!$B$3:$M$3),0)</f>
        <v>240000</v>
      </c>
      <c r="BG8" s="57">
        <f>ROUND(Допущения!$C8*'Объемы реализации'!BG$7*SUMIF(Сезонность!$B$1:$M$1,MONTH('Объемы реализации'!BG$3),Сезонность!$B$3:$M$3),0)</f>
        <v>240000</v>
      </c>
      <c r="BH8" s="57">
        <f>ROUND(Допущения!$C8*'Объемы реализации'!BH$7*SUMIF(Сезонность!$B$1:$M$1,MONTH('Объемы реализации'!BH$3),Сезонность!$B$3:$M$3),0)</f>
        <v>240000</v>
      </c>
      <c r="BI8" s="57">
        <f>ROUND(Допущения!$C8*'Объемы реализации'!BI$7*SUMIF(Сезонность!$B$1:$M$1,MONTH('Объемы реализации'!BI$3),Сезонность!$B$3:$M$3),0)</f>
        <v>240000</v>
      </c>
      <c r="BJ8" s="57">
        <f>ROUND(Допущения!$C8*'Объемы реализации'!BJ$7*SUMIF(Сезонность!$B$1:$M$1,MONTH('Объемы реализации'!BJ$3),Сезонность!$B$3:$M$3),0)</f>
        <v>240000</v>
      </c>
      <c r="BL8" s="57">
        <f t="shared" ref="BL8:BQ17" si="16">SUMIF($C$2:$BJ$2,BL$2,$C8:$BJ8)</f>
        <v>48000</v>
      </c>
      <c r="BM8" s="57">
        <f t="shared" si="16"/>
        <v>2592000</v>
      </c>
      <c r="BN8" s="57">
        <f t="shared" si="16"/>
        <v>2880000</v>
      </c>
      <c r="BO8" s="57">
        <f t="shared" si="16"/>
        <v>2880000</v>
      </c>
      <c r="BP8" s="57">
        <f t="shared" si="16"/>
        <v>2880000</v>
      </c>
      <c r="BQ8" s="57">
        <f t="shared" si="16"/>
        <v>1920000</v>
      </c>
    </row>
    <row r="9" spans="1:116" s="154" customFormat="1">
      <c r="A9" s="232" t="str">
        <f>Допущения!A9</f>
        <v>Говядина четверти</v>
      </c>
      <c r="B9" s="233" t="str">
        <f>Допущения!B9</f>
        <v>кг/мес.</v>
      </c>
      <c r="C9" s="57">
        <f>ROUND(Допущения!$C9*'Объемы реализации'!C$7*SUMIF(Сезонность!$B$1:$M$1,MONTH('Объемы реализации'!C$3),Сезонность!$B$3:$M$3),0)</f>
        <v>0</v>
      </c>
      <c r="D9" s="57">
        <f>ROUND(Допущения!$C9*'Объемы реализации'!D$7*SUMIF(Сезонность!$B$1:$M$1,MONTH('Объемы реализации'!D$3),Сезонность!$B$3:$M$3),0)</f>
        <v>0</v>
      </c>
      <c r="E9" s="57">
        <f>ROUND(Допущения!$C9*'Объемы реализации'!E$7*SUMIF(Сезонность!$B$1:$M$1,MONTH('Объемы реализации'!E$3),Сезонность!$B$3:$M$3),0)</f>
        <v>0</v>
      </c>
      <c r="F9" s="57">
        <f>ROUND(Допущения!$C9*'Объемы реализации'!F$7*SUMIF(Сезонность!$B$1:$M$1,MONTH('Объемы реализации'!F$3),Сезонность!$B$3:$M$3),0)</f>
        <v>24000</v>
      </c>
      <c r="G9" s="57">
        <f>ROUND(Допущения!$C9*'Объемы реализации'!G$7*SUMIF(Сезонность!$B$1:$M$1,MONTH('Объемы реализации'!G$3),Сезонность!$B$3:$M$3),0)</f>
        <v>48000</v>
      </c>
      <c r="H9" s="57">
        <f>ROUND(Допущения!$C9*'Объемы реализации'!H$7*SUMIF(Сезонность!$B$1:$M$1,MONTH('Объемы реализации'!H$3),Сезонность!$B$3:$M$3),0)</f>
        <v>72000</v>
      </c>
      <c r="I9" s="57">
        <f>ROUND(Допущения!$C9*'Объемы реализации'!I$7*SUMIF(Сезонность!$B$1:$M$1,MONTH('Объемы реализации'!I$3),Сезонность!$B$3:$M$3),0)</f>
        <v>96000</v>
      </c>
      <c r="J9" s="57">
        <f>ROUND(Допущения!$C9*'Объемы реализации'!J$7*SUMIF(Сезонность!$B$1:$M$1,MONTH('Объемы реализации'!J$3),Сезонность!$B$3:$M$3),0)</f>
        <v>120000</v>
      </c>
      <c r="K9" s="57">
        <f>ROUND(Допущения!$C9*'Объемы реализации'!K$7*SUMIF(Сезонность!$B$1:$M$1,MONTH('Объемы реализации'!K$3),Сезонность!$B$3:$M$3),0)</f>
        <v>120000</v>
      </c>
      <c r="L9" s="57">
        <f>ROUND(Допущения!$C9*'Объемы реализации'!L$7*SUMIF(Сезонность!$B$1:$M$1,MONTH('Объемы реализации'!L$3),Сезонность!$B$3:$M$3),0)</f>
        <v>120000</v>
      </c>
      <c r="M9" s="57">
        <f>ROUND(Допущения!$C9*'Объемы реализации'!M$7*SUMIF(Сезонность!$B$1:$M$1,MONTH('Объемы реализации'!M$3),Сезонность!$B$3:$M$3),0)</f>
        <v>120000</v>
      </c>
      <c r="N9" s="57">
        <f>ROUND(Допущения!$C9*'Объемы реализации'!N$7*SUMIF(Сезонность!$B$1:$M$1,MONTH('Объемы реализации'!N$3),Сезонность!$B$3:$M$3),0)</f>
        <v>120000</v>
      </c>
      <c r="O9" s="57">
        <f>ROUND(Допущения!$C9*'Объемы реализации'!O$7*SUMIF(Сезонность!$B$1:$M$1,MONTH('Объемы реализации'!O$3),Сезонность!$B$3:$M$3),0)</f>
        <v>120000</v>
      </c>
      <c r="P9" s="57">
        <f>ROUND(Допущения!$C9*'Объемы реализации'!P$7*SUMIF(Сезонность!$B$1:$M$1,MONTH('Объемы реализации'!P$3),Сезонность!$B$3:$M$3),0)</f>
        <v>120000</v>
      </c>
      <c r="Q9" s="57">
        <f>ROUND(Допущения!$C9*'Объемы реализации'!Q$7*SUMIF(Сезонность!$B$1:$M$1,MONTH('Объемы реализации'!Q$3),Сезонность!$B$3:$M$3),0)</f>
        <v>120000</v>
      </c>
      <c r="R9" s="57">
        <f>ROUND(Допущения!$C9*'Объемы реализации'!R$7*SUMIF(Сезонность!$B$1:$M$1,MONTH('Объемы реализации'!R$3),Сезонность!$B$3:$M$3),0)</f>
        <v>120000</v>
      </c>
      <c r="S9" s="57">
        <f>ROUND(Допущения!$C9*'Объемы реализации'!S$7*SUMIF(Сезонность!$B$1:$M$1,MONTH('Объемы реализации'!S$3),Сезонность!$B$3:$M$3),0)</f>
        <v>120000</v>
      </c>
      <c r="T9" s="57">
        <f>ROUND(Допущения!$C9*'Объемы реализации'!T$7*SUMIF(Сезонность!$B$1:$M$1,MONTH('Объемы реализации'!T$3),Сезонность!$B$3:$M$3),0)</f>
        <v>120000</v>
      </c>
      <c r="U9" s="57">
        <f>ROUND(Допущения!$C9*'Объемы реализации'!U$7*SUMIF(Сезонность!$B$1:$M$1,MONTH('Объемы реализации'!U$3),Сезонность!$B$3:$M$3),0)</f>
        <v>120000</v>
      </c>
      <c r="V9" s="57">
        <f>ROUND(Допущения!$C9*'Объемы реализации'!V$7*SUMIF(Сезонность!$B$1:$M$1,MONTH('Объемы реализации'!V$3),Сезонность!$B$3:$M$3),0)</f>
        <v>120000</v>
      </c>
      <c r="W9" s="57">
        <f>ROUND(Допущения!$C9*'Объемы реализации'!W$7*SUMIF(Сезонность!$B$1:$M$1,MONTH('Объемы реализации'!W$3),Сезонность!$B$3:$M$3),0)</f>
        <v>120000</v>
      </c>
      <c r="X9" s="57">
        <f>ROUND(Допущения!$C9*'Объемы реализации'!X$7*SUMIF(Сезонность!$B$1:$M$1,MONTH('Объемы реализации'!X$3),Сезонность!$B$3:$M$3),0)</f>
        <v>120000</v>
      </c>
      <c r="Y9" s="57">
        <f>ROUND(Допущения!$C9*'Объемы реализации'!Y$7*SUMIF(Сезонность!$B$1:$M$1,MONTH('Объемы реализации'!Y$3),Сезонность!$B$3:$M$3),0)</f>
        <v>120000</v>
      </c>
      <c r="Z9" s="57">
        <f>ROUND(Допущения!$C9*'Объемы реализации'!Z$7*SUMIF(Сезонность!$B$1:$M$1,MONTH('Объемы реализации'!Z$3),Сезонность!$B$3:$M$3),0)</f>
        <v>120000</v>
      </c>
      <c r="AA9" s="57">
        <f>ROUND(Допущения!$C9*'Объемы реализации'!AA$7*SUMIF(Сезонность!$B$1:$M$1,MONTH('Объемы реализации'!AA$3),Сезонность!$B$3:$M$3),0)</f>
        <v>120000</v>
      </c>
      <c r="AB9" s="57">
        <f>ROUND(Допущения!$C9*'Объемы реализации'!AB$7*SUMIF(Сезонность!$B$1:$M$1,MONTH('Объемы реализации'!AB$3),Сезонность!$B$3:$M$3),0)</f>
        <v>120000</v>
      </c>
      <c r="AC9" s="57">
        <f>ROUND(Допущения!$C9*'Объемы реализации'!AC$7*SUMIF(Сезонность!$B$1:$M$1,MONTH('Объемы реализации'!AC$3),Сезонность!$B$3:$M$3),0)</f>
        <v>120000</v>
      </c>
      <c r="AD9" s="57">
        <f>ROUND(Допущения!$C9*'Объемы реализации'!AD$7*SUMIF(Сезонность!$B$1:$M$1,MONTH('Объемы реализации'!AD$3),Сезонность!$B$3:$M$3),0)</f>
        <v>120000</v>
      </c>
      <c r="AE9" s="57">
        <f>ROUND(Допущения!$C9*'Объемы реализации'!AE$7*SUMIF(Сезонность!$B$1:$M$1,MONTH('Объемы реализации'!AE$3),Сезонность!$B$3:$M$3),0)</f>
        <v>120000</v>
      </c>
      <c r="AF9" s="57">
        <f>ROUND(Допущения!$C9*'Объемы реализации'!AF$7*SUMIF(Сезонность!$B$1:$M$1,MONTH('Объемы реализации'!AF$3),Сезонность!$B$3:$M$3),0)</f>
        <v>120000</v>
      </c>
      <c r="AG9" s="57">
        <f>ROUND(Допущения!$C9*'Объемы реализации'!AG$7*SUMIF(Сезонность!$B$1:$M$1,MONTH('Объемы реализации'!AG$3),Сезонность!$B$3:$M$3),0)</f>
        <v>120000</v>
      </c>
      <c r="AH9" s="57">
        <f>ROUND(Допущения!$C9*'Объемы реализации'!AH$7*SUMIF(Сезонность!$B$1:$M$1,MONTH('Объемы реализации'!AH$3),Сезонность!$B$3:$M$3),0)</f>
        <v>120000</v>
      </c>
      <c r="AI9" s="57">
        <f>ROUND(Допущения!$C9*'Объемы реализации'!AI$7*SUMIF(Сезонность!$B$1:$M$1,MONTH('Объемы реализации'!AI$3),Сезонность!$B$3:$M$3),0)</f>
        <v>120000</v>
      </c>
      <c r="AJ9" s="57">
        <f>ROUND(Допущения!$C9*'Объемы реализации'!AJ$7*SUMIF(Сезонность!$B$1:$M$1,MONTH('Объемы реализации'!AJ$3),Сезонность!$B$3:$M$3),0)</f>
        <v>120000</v>
      </c>
      <c r="AK9" s="57">
        <f>ROUND(Допущения!$C9*'Объемы реализации'!AK$7*SUMIF(Сезонность!$B$1:$M$1,MONTH('Объемы реализации'!AK$3),Сезонность!$B$3:$M$3),0)</f>
        <v>120000</v>
      </c>
      <c r="AL9" s="57">
        <f>ROUND(Допущения!$C9*'Объемы реализации'!AL$7*SUMIF(Сезонность!$B$1:$M$1,MONTH('Объемы реализации'!AL$3),Сезонность!$B$3:$M$3),0)</f>
        <v>120000</v>
      </c>
      <c r="AM9" s="57">
        <f>ROUND(Допущения!$C9*'Объемы реализации'!AM$7*SUMIF(Сезонность!$B$1:$M$1,MONTH('Объемы реализации'!AM$3),Сезонность!$B$3:$M$3),0)</f>
        <v>120000</v>
      </c>
      <c r="AN9" s="57">
        <f>ROUND(Допущения!$C9*'Объемы реализации'!AN$7*SUMIF(Сезонность!$B$1:$M$1,MONTH('Объемы реализации'!AN$3),Сезонность!$B$3:$M$3),0)</f>
        <v>120000</v>
      </c>
      <c r="AO9" s="57">
        <f>ROUND(Допущения!$C9*'Объемы реализации'!AO$7*SUMIF(Сезонность!$B$1:$M$1,MONTH('Объемы реализации'!AO$3),Сезонность!$B$3:$M$3),0)</f>
        <v>120000</v>
      </c>
      <c r="AP9" s="57">
        <f>ROUND(Допущения!$C9*'Объемы реализации'!AP$7*SUMIF(Сезонность!$B$1:$M$1,MONTH('Объемы реализации'!AP$3),Сезонность!$B$3:$M$3),0)</f>
        <v>120000</v>
      </c>
      <c r="AQ9" s="57">
        <f>ROUND(Допущения!$C9*'Объемы реализации'!AQ$7*SUMIF(Сезонность!$B$1:$M$1,MONTH('Объемы реализации'!AQ$3),Сезонность!$B$3:$M$3),0)</f>
        <v>120000</v>
      </c>
      <c r="AR9" s="57">
        <f>ROUND(Допущения!$C9*'Объемы реализации'!AR$7*SUMIF(Сезонность!$B$1:$M$1,MONTH('Объемы реализации'!AR$3),Сезонность!$B$3:$M$3),0)</f>
        <v>120000</v>
      </c>
      <c r="AS9" s="57">
        <f>ROUND(Допущения!$C9*'Объемы реализации'!AS$7*SUMIF(Сезонность!$B$1:$M$1,MONTH('Объемы реализации'!AS$3),Сезонность!$B$3:$M$3),0)</f>
        <v>120000</v>
      </c>
      <c r="AT9" s="57">
        <f>ROUND(Допущения!$C9*'Объемы реализации'!AT$7*SUMIF(Сезонность!$B$1:$M$1,MONTH('Объемы реализации'!AT$3),Сезонность!$B$3:$M$3),0)</f>
        <v>120000</v>
      </c>
      <c r="AU9" s="57">
        <f>ROUND(Допущения!$C9*'Объемы реализации'!AU$7*SUMIF(Сезонность!$B$1:$M$1,MONTH('Объемы реализации'!AU$3),Сезонность!$B$3:$M$3),0)</f>
        <v>120000</v>
      </c>
      <c r="AV9" s="57">
        <f>ROUND(Допущения!$C9*'Объемы реализации'!AV$7*SUMIF(Сезонность!$B$1:$M$1,MONTH('Объемы реализации'!AV$3),Сезонность!$B$3:$M$3),0)</f>
        <v>120000</v>
      </c>
      <c r="AW9" s="57">
        <f>ROUND(Допущения!$C9*'Объемы реализации'!AW$7*SUMIF(Сезонность!$B$1:$M$1,MONTH('Объемы реализации'!AW$3),Сезонность!$B$3:$M$3),0)</f>
        <v>120000</v>
      </c>
      <c r="AX9" s="57">
        <f>ROUND(Допущения!$C9*'Объемы реализации'!AX$7*SUMIF(Сезонность!$B$1:$M$1,MONTH('Объемы реализации'!AX$3),Сезонность!$B$3:$M$3),0)</f>
        <v>120000</v>
      </c>
      <c r="AY9" s="57">
        <f>ROUND(Допущения!$C9*'Объемы реализации'!AY$7*SUMIF(Сезонность!$B$1:$M$1,MONTH('Объемы реализации'!AY$3),Сезонность!$B$3:$M$3),0)</f>
        <v>120000</v>
      </c>
      <c r="AZ9" s="57">
        <f>ROUND(Допущения!$C9*'Объемы реализации'!AZ$7*SUMIF(Сезонность!$B$1:$M$1,MONTH('Объемы реализации'!AZ$3),Сезонность!$B$3:$M$3),0)</f>
        <v>120000</v>
      </c>
      <c r="BA9" s="57">
        <f>ROUND(Допущения!$C9*'Объемы реализации'!BA$7*SUMIF(Сезонность!$B$1:$M$1,MONTH('Объемы реализации'!BA$3),Сезонность!$B$3:$M$3),0)</f>
        <v>120000</v>
      </c>
      <c r="BB9" s="57">
        <f>ROUND(Допущения!$C9*'Объемы реализации'!BB$7*SUMIF(Сезонность!$B$1:$M$1,MONTH('Объемы реализации'!BB$3),Сезонность!$B$3:$M$3),0)</f>
        <v>120000</v>
      </c>
      <c r="BC9" s="57">
        <f>ROUND(Допущения!$C9*'Объемы реализации'!BC$7*SUMIF(Сезонность!$B$1:$M$1,MONTH('Объемы реализации'!BC$3),Сезонность!$B$3:$M$3),0)</f>
        <v>120000</v>
      </c>
      <c r="BD9" s="57">
        <f>ROUND(Допущения!$C9*'Объемы реализации'!BD$7*SUMIF(Сезонность!$B$1:$M$1,MONTH('Объемы реализации'!BD$3),Сезонность!$B$3:$M$3),0)</f>
        <v>120000</v>
      </c>
      <c r="BE9" s="57">
        <f>ROUND(Допущения!$C9*'Объемы реализации'!BE$7*SUMIF(Сезонность!$B$1:$M$1,MONTH('Объемы реализации'!BE$3),Сезонность!$B$3:$M$3),0)</f>
        <v>120000</v>
      </c>
      <c r="BF9" s="57">
        <f>ROUND(Допущения!$C9*'Объемы реализации'!BF$7*SUMIF(Сезонность!$B$1:$M$1,MONTH('Объемы реализации'!BF$3),Сезонность!$B$3:$M$3),0)</f>
        <v>120000</v>
      </c>
      <c r="BG9" s="57">
        <f>ROUND(Допущения!$C9*'Объемы реализации'!BG$7*SUMIF(Сезонность!$B$1:$M$1,MONTH('Объемы реализации'!BG$3),Сезонность!$B$3:$M$3),0)</f>
        <v>120000</v>
      </c>
      <c r="BH9" s="57">
        <f>ROUND(Допущения!$C9*'Объемы реализации'!BH$7*SUMIF(Сезонность!$B$1:$M$1,MONTH('Объемы реализации'!BH$3),Сезонность!$B$3:$M$3),0)</f>
        <v>120000</v>
      </c>
      <c r="BI9" s="57">
        <f>ROUND(Допущения!$C9*'Объемы реализации'!BI$7*SUMIF(Сезонность!$B$1:$M$1,MONTH('Объемы реализации'!BI$3),Сезонность!$B$3:$M$3),0)</f>
        <v>120000</v>
      </c>
      <c r="BJ9" s="57">
        <f>ROUND(Допущения!$C9*'Объемы реализации'!BJ$7*SUMIF(Сезонность!$B$1:$M$1,MONTH('Объемы реализации'!BJ$3),Сезонность!$B$3:$M$3),0)</f>
        <v>120000</v>
      </c>
      <c r="BL9" s="57">
        <f t="shared" si="16"/>
        <v>24000</v>
      </c>
      <c r="BM9" s="57">
        <f t="shared" si="16"/>
        <v>1296000</v>
      </c>
      <c r="BN9" s="57">
        <f t="shared" si="16"/>
        <v>1440000</v>
      </c>
      <c r="BO9" s="57">
        <f t="shared" si="16"/>
        <v>1440000</v>
      </c>
      <c r="BP9" s="57">
        <f t="shared" si="16"/>
        <v>1440000</v>
      </c>
      <c r="BQ9" s="57">
        <f t="shared" si="16"/>
        <v>960000</v>
      </c>
    </row>
    <row r="10" spans="1:116">
      <c r="A10" s="232" t="str">
        <f>Допущения!A10</f>
        <v>Тушки куриные</v>
      </c>
      <c r="B10" s="233" t="str">
        <f>Допущения!B10</f>
        <v>кг/мес.</v>
      </c>
      <c r="C10" s="57">
        <f>ROUND(Допущения!$C10*'Объемы реализации'!C$7*SUMIF(Сезонность!$B$1:$M$1,MONTH('Объемы реализации'!C$3),Сезонность!$B$3:$M$3),0)</f>
        <v>0</v>
      </c>
      <c r="D10" s="57">
        <f>ROUND(Допущения!$C10*'Объемы реализации'!D$7*SUMIF(Сезонность!$B$1:$M$1,MONTH('Объемы реализации'!D$3),Сезонность!$B$3:$M$3),0)</f>
        <v>0</v>
      </c>
      <c r="E10" s="57">
        <f>ROUND(Допущения!$C10*'Объемы реализации'!E$7*SUMIF(Сезонность!$B$1:$M$1,MONTH('Объемы реализации'!E$3),Сезонность!$B$3:$M$3),0)</f>
        <v>0</v>
      </c>
      <c r="F10" s="57">
        <f>ROUND(Допущения!$C10*'Объемы реализации'!F$7*SUMIF(Сезонность!$B$1:$M$1,MONTH('Объемы реализации'!F$3),Сезонность!$B$3:$M$3),0)</f>
        <v>24000</v>
      </c>
      <c r="G10" s="57">
        <f>ROUND(Допущения!$C10*'Объемы реализации'!G$7*SUMIF(Сезонность!$B$1:$M$1,MONTH('Объемы реализации'!G$3),Сезонность!$B$3:$M$3),0)</f>
        <v>48000</v>
      </c>
      <c r="H10" s="57">
        <f>ROUND(Допущения!$C10*'Объемы реализации'!H$7*SUMIF(Сезонность!$B$1:$M$1,MONTH('Объемы реализации'!H$3),Сезонность!$B$3:$M$3),0)</f>
        <v>72000</v>
      </c>
      <c r="I10" s="57">
        <f>ROUND(Допущения!$C10*'Объемы реализации'!I$7*SUMIF(Сезонность!$B$1:$M$1,MONTH('Объемы реализации'!I$3),Сезонность!$B$3:$M$3),0)</f>
        <v>96000</v>
      </c>
      <c r="J10" s="57">
        <f>ROUND(Допущения!$C10*'Объемы реализации'!J$7*SUMIF(Сезонность!$B$1:$M$1,MONTH('Объемы реализации'!J$3),Сезонность!$B$3:$M$3),0)</f>
        <v>120000</v>
      </c>
      <c r="K10" s="57">
        <f>ROUND(Допущения!$C10*'Объемы реализации'!K$7*SUMIF(Сезонность!$B$1:$M$1,MONTH('Объемы реализации'!K$3),Сезонность!$B$3:$M$3),0)</f>
        <v>120000</v>
      </c>
      <c r="L10" s="57">
        <f>ROUND(Допущения!$C10*'Объемы реализации'!L$7*SUMIF(Сезонность!$B$1:$M$1,MONTH('Объемы реализации'!L$3),Сезонность!$B$3:$M$3),0)</f>
        <v>120000</v>
      </c>
      <c r="M10" s="57">
        <f>ROUND(Допущения!$C10*'Объемы реализации'!M$7*SUMIF(Сезонность!$B$1:$M$1,MONTH('Объемы реализации'!M$3),Сезонность!$B$3:$M$3),0)</f>
        <v>120000</v>
      </c>
      <c r="N10" s="57">
        <f>ROUND(Допущения!$C10*'Объемы реализации'!N$7*SUMIF(Сезонность!$B$1:$M$1,MONTH('Объемы реализации'!N$3),Сезонность!$B$3:$M$3),0)</f>
        <v>120000</v>
      </c>
      <c r="O10" s="57">
        <f>ROUND(Допущения!$C10*'Объемы реализации'!O$7*SUMIF(Сезонность!$B$1:$M$1,MONTH('Объемы реализации'!O$3),Сезонность!$B$3:$M$3),0)</f>
        <v>120000</v>
      </c>
      <c r="P10" s="57">
        <f>ROUND(Допущения!$C10*'Объемы реализации'!P$7*SUMIF(Сезонность!$B$1:$M$1,MONTH('Объемы реализации'!P$3),Сезонность!$B$3:$M$3),0)</f>
        <v>120000</v>
      </c>
      <c r="Q10" s="57">
        <f>ROUND(Допущения!$C10*'Объемы реализации'!Q$7*SUMIF(Сезонность!$B$1:$M$1,MONTH('Объемы реализации'!Q$3),Сезонность!$B$3:$M$3),0)</f>
        <v>120000</v>
      </c>
      <c r="R10" s="57">
        <f>ROUND(Допущения!$C10*'Объемы реализации'!R$7*SUMIF(Сезонность!$B$1:$M$1,MONTH('Объемы реализации'!R$3),Сезонность!$B$3:$M$3),0)</f>
        <v>120000</v>
      </c>
      <c r="S10" s="57">
        <f>ROUND(Допущения!$C10*'Объемы реализации'!S$7*SUMIF(Сезонность!$B$1:$M$1,MONTH('Объемы реализации'!S$3),Сезонность!$B$3:$M$3),0)</f>
        <v>120000</v>
      </c>
      <c r="T10" s="57">
        <f>ROUND(Допущения!$C10*'Объемы реализации'!T$7*SUMIF(Сезонность!$B$1:$M$1,MONTH('Объемы реализации'!T$3),Сезонность!$B$3:$M$3),0)</f>
        <v>120000</v>
      </c>
      <c r="U10" s="57">
        <f>ROUND(Допущения!$C10*'Объемы реализации'!U$7*SUMIF(Сезонность!$B$1:$M$1,MONTH('Объемы реализации'!U$3),Сезонность!$B$3:$M$3),0)</f>
        <v>120000</v>
      </c>
      <c r="V10" s="57">
        <f>ROUND(Допущения!$C10*'Объемы реализации'!V$7*SUMIF(Сезонность!$B$1:$M$1,MONTH('Объемы реализации'!V$3),Сезонность!$B$3:$M$3),0)</f>
        <v>120000</v>
      </c>
      <c r="W10" s="57">
        <f>ROUND(Допущения!$C10*'Объемы реализации'!W$7*SUMIF(Сезонность!$B$1:$M$1,MONTH('Объемы реализации'!W$3),Сезонность!$B$3:$M$3),0)</f>
        <v>120000</v>
      </c>
      <c r="X10" s="57">
        <f>ROUND(Допущения!$C10*'Объемы реализации'!X$7*SUMIF(Сезонность!$B$1:$M$1,MONTH('Объемы реализации'!X$3),Сезонность!$B$3:$M$3),0)</f>
        <v>120000</v>
      </c>
      <c r="Y10" s="57">
        <f>ROUND(Допущения!$C10*'Объемы реализации'!Y$7*SUMIF(Сезонность!$B$1:$M$1,MONTH('Объемы реализации'!Y$3),Сезонность!$B$3:$M$3),0)</f>
        <v>120000</v>
      </c>
      <c r="Z10" s="57">
        <f>ROUND(Допущения!$C10*'Объемы реализации'!Z$7*SUMIF(Сезонность!$B$1:$M$1,MONTH('Объемы реализации'!Z$3),Сезонность!$B$3:$M$3),0)</f>
        <v>120000</v>
      </c>
      <c r="AA10" s="57">
        <f>ROUND(Допущения!$C10*'Объемы реализации'!AA$7*SUMIF(Сезонность!$B$1:$M$1,MONTH('Объемы реализации'!AA$3),Сезонность!$B$3:$M$3),0)</f>
        <v>120000</v>
      </c>
      <c r="AB10" s="57">
        <f>ROUND(Допущения!$C10*'Объемы реализации'!AB$7*SUMIF(Сезонность!$B$1:$M$1,MONTH('Объемы реализации'!AB$3),Сезонность!$B$3:$M$3),0)</f>
        <v>120000</v>
      </c>
      <c r="AC10" s="57">
        <f>ROUND(Допущения!$C10*'Объемы реализации'!AC$7*SUMIF(Сезонность!$B$1:$M$1,MONTH('Объемы реализации'!AC$3),Сезонность!$B$3:$M$3),0)</f>
        <v>120000</v>
      </c>
      <c r="AD10" s="57">
        <f>ROUND(Допущения!$C10*'Объемы реализации'!AD$7*SUMIF(Сезонность!$B$1:$M$1,MONTH('Объемы реализации'!AD$3),Сезонность!$B$3:$M$3),0)</f>
        <v>120000</v>
      </c>
      <c r="AE10" s="57">
        <f>ROUND(Допущения!$C10*'Объемы реализации'!AE$7*SUMIF(Сезонность!$B$1:$M$1,MONTH('Объемы реализации'!AE$3),Сезонность!$B$3:$M$3),0)</f>
        <v>120000</v>
      </c>
      <c r="AF10" s="57">
        <f>ROUND(Допущения!$C10*'Объемы реализации'!AF$7*SUMIF(Сезонность!$B$1:$M$1,MONTH('Объемы реализации'!AF$3),Сезонность!$B$3:$M$3),0)</f>
        <v>120000</v>
      </c>
      <c r="AG10" s="57">
        <f>ROUND(Допущения!$C10*'Объемы реализации'!AG$7*SUMIF(Сезонность!$B$1:$M$1,MONTH('Объемы реализации'!AG$3),Сезонность!$B$3:$M$3),0)</f>
        <v>120000</v>
      </c>
      <c r="AH10" s="57">
        <f>ROUND(Допущения!$C10*'Объемы реализации'!AH$7*SUMIF(Сезонность!$B$1:$M$1,MONTH('Объемы реализации'!AH$3),Сезонность!$B$3:$M$3),0)</f>
        <v>120000</v>
      </c>
      <c r="AI10" s="57">
        <f>ROUND(Допущения!$C10*'Объемы реализации'!AI$7*SUMIF(Сезонность!$B$1:$M$1,MONTH('Объемы реализации'!AI$3),Сезонность!$B$3:$M$3),0)</f>
        <v>120000</v>
      </c>
      <c r="AJ10" s="57">
        <f>ROUND(Допущения!$C10*'Объемы реализации'!AJ$7*SUMIF(Сезонность!$B$1:$M$1,MONTH('Объемы реализации'!AJ$3),Сезонность!$B$3:$M$3),0)</f>
        <v>120000</v>
      </c>
      <c r="AK10" s="57">
        <f>ROUND(Допущения!$C10*'Объемы реализации'!AK$7*SUMIF(Сезонность!$B$1:$M$1,MONTH('Объемы реализации'!AK$3),Сезонность!$B$3:$M$3),0)</f>
        <v>120000</v>
      </c>
      <c r="AL10" s="57">
        <f>ROUND(Допущения!$C10*'Объемы реализации'!AL$7*SUMIF(Сезонность!$B$1:$M$1,MONTH('Объемы реализации'!AL$3),Сезонность!$B$3:$M$3),0)</f>
        <v>120000</v>
      </c>
      <c r="AM10" s="57">
        <f>ROUND(Допущения!$C10*'Объемы реализации'!AM$7*SUMIF(Сезонность!$B$1:$M$1,MONTH('Объемы реализации'!AM$3),Сезонность!$B$3:$M$3),0)</f>
        <v>120000</v>
      </c>
      <c r="AN10" s="57">
        <f>ROUND(Допущения!$C10*'Объемы реализации'!AN$7*SUMIF(Сезонность!$B$1:$M$1,MONTH('Объемы реализации'!AN$3),Сезонность!$B$3:$M$3),0)</f>
        <v>120000</v>
      </c>
      <c r="AO10" s="57">
        <f>ROUND(Допущения!$C10*'Объемы реализации'!AO$7*SUMIF(Сезонность!$B$1:$M$1,MONTH('Объемы реализации'!AO$3),Сезонность!$B$3:$M$3),0)</f>
        <v>120000</v>
      </c>
      <c r="AP10" s="57">
        <f>ROUND(Допущения!$C10*'Объемы реализации'!AP$7*SUMIF(Сезонность!$B$1:$M$1,MONTH('Объемы реализации'!AP$3),Сезонность!$B$3:$M$3),0)</f>
        <v>120000</v>
      </c>
      <c r="AQ10" s="57">
        <f>ROUND(Допущения!$C10*'Объемы реализации'!AQ$7*SUMIF(Сезонность!$B$1:$M$1,MONTH('Объемы реализации'!AQ$3),Сезонность!$B$3:$M$3),0)</f>
        <v>120000</v>
      </c>
      <c r="AR10" s="57">
        <f>ROUND(Допущения!$C10*'Объемы реализации'!AR$7*SUMIF(Сезонность!$B$1:$M$1,MONTH('Объемы реализации'!AR$3),Сезонность!$B$3:$M$3),0)</f>
        <v>120000</v>
      </c>
      <c r="AS10" s="57">
        <f>ROUND(Допущения!$C10*'Объемы реализации'!AS$7*SUMIF(Сезонность!$B$1:$M$1,MONTH('Объемы реализации'!AS$3),Сезонность!$B$3:$M$3),0)</f>
        <v>120000</v>
      </c>
      <c r="AT10" s="57">
        <f>ROUND(Допущения!$C10*'Объемы реализации'!AT$7*SUMIF(Сезонность!$B$1:$M$1,MONTH('Объемы реализации'!AT$3),Сезонность!$B$3:$M$3),0)</f>
        <v>120000</v>
      </c>
      <c r="AU10" s="57">
        <f>ROUND(Допущения!$C10*'Объемы реализации'!AU$7*SUMIF(Сезонность!$B$1:$M$1,MONTH('Объемы реализации'!AU$3),Сезонность!$B$3:$M$3),0)</f>
        <v>120000</v>
      </c>
      <c r="AV10" s="57">
        <f>ROUND(Допущения!$C10*'Объемы реализации'!AV$7*SUMIF(Сезонность!$B$1:$M$1,MONTH('Объемы реализации'!AV$3),Сезонность!$B$3:$M$3),0)</f>
        <v>120000</v>
      </c>
      <c r="AW10" s="57">
        <f>ROUND(Допущения!$C10*'Объемы реализации'!AW$7*SUMIF(Сезонность!$B$1:$M$1,MONTH('Объемы реализации'!AW$3),Сезонность!$B$3:$M$3),0)</f>
        <v>120000</v>
      </c>
      <c r="AX10" s="57">
        <f>ROUND(Допущения!$C10*'Объемы реализации'!AX$7*SUMIF(Сезонность!$B$1:$M$1,MONTH('Объемы реализации'!AX$3),Сезонность!$B$3:$M$3),0)</f>
        <v>120000</v>
      </c>
      <c r="AY10" s="57">
        <f>ROUND(Допущения!$C10*'Объемы реализации'!AY$7*SUMIF(Сезонность!$B$1:$M$1,MONTH('Объемы реализации'!AY$3),Сезонность!$B$3:$M$3),0)</f>
        <v>120000</v>
      </c>
      <c r="AZ10" s="57">
        <f>ROUND(Допущения!$C10*'Объемы реализации'!AZ$7*SUMIF(Сезонность!$B$1:$M$1,MONTH('Объемы реализации'!AZ$3),Сезонность!$B$3:$M$3),0)</f>
        <v>120000</v>
      </c>
      <c r="BA10" s="57">
        <f>ROUND(Допущения!$C10*'Объемы реализации'!BA$7*SUMIF(Сезонность!$B$1:$M$1,MONTH('Объемы реализации'!BA$3),Сезонность!$B$3:$M$3),0)</f>
        <v>120000</v>
      </c>
      <c r="BB10" s="57">
        <f>ROUND(Допущения!$C10*'Объемы реализации'!BB$7*SUMIF(Сезонность!$B$1:$M$1,MONTH('Объемы реализации'!BB$3),Сезонность!$B$3:$M$3),0)</f>
        <v>120000</v>
      </c>
      <c r="BC10" s="57">
        <f>ROUND(Допущения!$C10*'Объемы реализации'!BC$7*SUMIF(Сезонность!$B$1:$M$1,MONTH('Объемы реализации'!BC$3),Сезонность!$B$3:$M$3),0)</f>
        <v>120000</v>
      </c>
      <c r="BD10" s="57">
        <f>ROUND(Допущения!$C10*'Объемы реализации'!BD$7*SUMIF(Сезонность!$B$1:$M$1,MONTH('Объемы реализации'!BD$3),Сезонность!$B$3:$M$3),0)</f>
        <v>120000</v>
      </c>
      <c r="BE10" s="57">
        <f>ROUND(Допущения!$C10*'Объемы реализации'!BE$7*SUMIF(Сезонность!$B$1:$M$1,MONTH('Объемы реализации'!BE$3),Сезонность!$B$3:$M$3),0)</f>
        <v>120000</v>
      </c>
      <c r="BF10" s="57">
        <f>ROUND(Допущения!$C10*'Объемы реализации'!BF$7*SUMIF(Сезонность!$B$1:$M$1,MONTH('Объемы реализации'!BF$3),Сезонность!$B$3:$M$3),0)</f>
        <v>120000</v>
      </c>
      <c r="BG10" s="57">
        <f>ROUND(Допущения!$C10*'Объемы реализации'!BG$7*SUMIF(Сезонность!$B$1:$M$1,MONTH('Объемы реализации'!BG$3),Сезонность!$B$3:$M$3),0)</f>
        <v>120000</v>
      </c>
      <c r="BH10" s="57">
        <f>ROUND(Допущения!$C10*'Объемы реализации'!BH$7*SUMIF(Сезонность!$B$1:$M$1,MONTH('Объемы реализации'!BH$3),Сезонность!$B$3:$M$3),0)</f>
        <v>120000</v>
      </c>
      <c r="BI10" s="57">
        <f>ROUND(Допущения!$C10*'Объемы реализации'!BI$7*SUMIF(Сезонность!$B$1:$M$1,MONTH('Объемы реализации'!BI$3),Сезонность!$B$3:$M$3),0)</f>
        <v>120000</v>
      </c>
      <c r="BJ10" s="57">
        <f>ROUND(Допущения!$C10*'Объемы реализации'!BJ$7*SUMIF(Сезонность!$B$1:$M$1,MONTH('Объемы реализации'!BJ$3),Сезонность!$B$3:$M$3),0)</f>
        <v>120000</v>
      </c>
      <c r="BL10" s="57">
        <f t="shared" si="16"/>
        <v>24000</v>
      </c>
      <c r="BM10" s="57">
        <f t="shared" si="16"/>
        <v>1296000</v>
      </c>
      <c r="BN10" s="57">
        <f t="shared" si="16"/>
        <v>1440000</v>
      </c>
      <c r="BO10" s="57">
        <f t="shared" si="16"/>
        <v>1440000</v>
      </c>
      <c r="BP10" s="57">
        <f t="shared" si="16"/>
        <v>1440000</v>
      </c>
      <c r="BQ10" s="57">
        <f t="shared" si="16"/>
        <v>960000</v>
      </c>
    </row>
    <row r="11" spans="1:116">
      <c r="A11" s="232" t="str">
        <f>Допущения!A11</f>
        <v>Тушки индейки</v>
      </c>
      <c r="B11" s="233" t="str">
        <f>Допущения!B11</f>
        <v>кг/мес.</v>
      </c>
      <c r="C11" s="57">
        <f>ROUND(Допущения!$C11*'Объемы реализации'!C$7*SUMIF(Сезонность!$B$1:$M$1,MONTH('Объемы реализации'!C$3),Сезонность!$B$3:$M$3),0)</f>
        <v>0</v>
      </c>
      <c r="D11" s="57">
        <f>ROUND(Допущения!$C11*'Объемы реализации'!D$7*SUMIF(Сезонность!$B$1:$M$1,MONTH('Объемы реализации'!D$3),Сезонность!$B$3:$M$3),0)</f>
        <v>0</v>
      </c>
      <c r="E11" s="57">
        <f>ROUND(Допущения!$C11*'Объемы реализации'!E$7*SUMIF(Сезонность!$B$1:$M$1,MONTH('Объемы реализации'!E$3),Сезонность!$B$3:$M$3),0)</f>
        <v>0</v>
      </c>
      <c r="F11" s="57">
        <f>ROUND(Допущения!$C11*'Объемы реализации'!F$7*SUMIF(Сезонность!$B$1:$M$1,MONTH('Объемы реализации'!F$3),Сезонность!$B$3:$M$3),0)</f>
        <v>24000</v>
      </c>
      <c r="G11" s="57">
        <f>ROUND(Допущения!$C11*'Объемы реализации'!G$7*SUMIF(Сезонность!$B$1:$M$1,MONTH('Объемы реализации'!G$3),Сезонность!$B$3:$M$3),0)</f>
        <v>48000</v>
      </c>
      <c r="H11" s="57">
        <f>ROUND(Допущения!$C11*'Объемы реализации'!H$7*SUMIF(Сезонность!$B$1:$M$1,MONTH('Объемы реализации'!H$3),Сезонность!$B$3:$M$3),0)</f>
        <v>72000</v>
      </c>
      <c r="I11" s="57">
        <f>ROUND(Допущения!$C11*'Объемы реализации'!I$7*SUMIF(Сезонность!$B$1:$M$1,MONTH('Объемы реализации'!I$3),Сезонность!$B$3:$M$3),0)</f>
        <v>96000</v>
      </c>
      <c r="J11" s="57">
        <f>ROUND(Допущения!$C11*'Объемы реализации'!J$7*SUMIF(Сезонность!$B$1:$M$1,MONTH('Объемы реализации'!J$3),Сезонность!$B$3:$M$3),0)</f>
        <v>120000</v>
      </c>
      <c r="K11" s="57">
        <f>ROUND(Допущения!$C11*'Объемы реализации'!K$7*SUMIF(Сезонность!$B$1:$M$1,MONTH('Объемы реализации'!K$3),Сезонность!$B$3:$M$3),0)</f>
        <v>120000</v>
      </c>
      <c r="L11" s="57">
        <f>ROUND(Допущения!$C11*'Объемы реализации'!L$7*SUMIF(Сезонность!$B$1:$M$1,MONTH('Объемы реализации'!L$3),Сезонность!$B$3:$M$3),0)</f>
        <v>120000</v>
      </c>
      <c r="M11" s="57">
        <f>ROUND(Допущения!$C11*'Объемы реализации'!M$7*SUMIF(Сезонность!$B$1:$M$1,MONTH('Объемы реализации'!M$3),Сезонность!$B$3:$M$3),0)</f>
        <v>120000</v>
      </c>
      <c r="N11" s="57">
        <f>ROUND(Допущения!$C11*'Объемы реализации'!N$7*SUMIF(Сезонность!$B$1:$M$1,MONTH('Объемы реализации'!N$3),Сезонность!$B$3:$M$3),0)</f>
        <v>120000</v>
      </c>
      <c r="O11" s="57">
        <f>ROUND(Допущения!$C11*'Объемы реализации'!O$7*SUMIF(Сезонность!$B$1:$M$1,MONTH('Объемы реализации'!O$3),Сезонность!$B$3:$M$3),0)</f>
        <v>120000</v>
      </c>
      <c r="P11" s="57">
        <f>ROUND(Допущения!$C11*'Объемы реализации'!P$7*SUMIF(Сезонность!$B$1:$M$1,MONTH('Объемы реализации'!P$3),Сезонность!$B$3:$M$3),0)</f>
        <v>120000</v>
      </c>
      <c r="Q11" s="57">
        <f>ROUND(Допущения!$C11*'Объемы реализации'!Q$7*SUMIF(Сезонность!$B$1:$M$1,MONTH('Объемы реализации'!Q$3),Сезонность!$B$3:$M$3),0)</f>
        <v>120000</v>
      </c>
      <c r="R11" s="57">
        <f>ROUND(Допущения!$C11*'Объемы реализации'!R$7*SUMIF(Сезонность!$B$1:$M$1,MONTH('Объемы реализации'!R$3),Сезонность!$B$3:$M$3),0)</f>
        <v>120000</v>
      </c>
      <c r="S11" s="57">
        <f>ROUND(Допущения!$C11*'Объемы реализации'!S$7*SUMIF(Сезонность!$B$1:$M$1,MONTH('Объемы реализации'!S$3),Сезонность!$B$3:$M$3),0)</f>
        <v>120000</v>
      </c>
      <c r="T11" s="57">
        <f>ROUND(Допущения!$C11*'Объемы реализации'!T$7*SUMIF(Сезонность!$B$1:$M$1,MONTH('Объемы реализации'!T$3),Сезонность!$B$3:$M$3),0)</f>
        <v>120000</v>
      </c>
      <c r="U11" s="57">
        <f>ROUND(Допущения!$C11*'Объемы реализации'!U$7*SUMIF(Сезонность!$B$1:$M$1,MONTH('Объемы реализации'!U$3),Сезонность!$B$3:$M$3),0)</f>
        <v>120000</v>
      </c>
      <c r="V11" s="57">
        <f>ROUND(Допущения!$C11*'Объемы реализации'!V$7*SUMIF(Сезонность!$B$1:$M$1,MONTH('Объемы реализации'!V$3),Сезонность!$B$3:$M$3),0)</f>
        <v>120000</v>
      </c>
      <c r="W11" s="57">
        <f>ROUND(Допущения!$C11*'Объемы реализации'!W$7*SUMIF(Сезонность!$B$1:$M$1,MONTH('Объемы реализации'!W$3),Сезонность!$B$3:$M$3),0)</f>
        <v>120000</v>
      </c>
      <c r="X11" s="57">
        <f>ROUND(Допущения!$C11*'Объемы реализации'!X$7*SUMIF(Сезонность!$B$1:$M$1,MONTH('Объемы реализации'!X$3),Сезонность!$B$3:$M$3),0)</f>
        <v>120000</v>
      </c>
      <c r="Y11" s="57">
        <f>ROUND(Допущения!$C11*'Объемы реализации'!Y$7*SUMIF(Сезонность!$B$1:$M$1,MONTH('Объемы реализации'!Y$3),Сезонность!$B$3:$M$3),0)</f>
        <v>120000</v>
      </c>
      <c r="Z11" s="57">
        <f>ROUND(Допущения!$C11*'Объемы реализации'!Z$7*SUMIF(Сезонность!$B$1:$M$1,MONTH('Объемы реализации'!Z$3),Сезонность!$B$3:$M$3),0)</f>
        <v>120000</v>
      </c>
      <c r="AA11" s="57">
        <f>ROUND(Допущения!$C11*'Объемы реализации'!AA$7*SUMIF(Сезонность!$B$1:$M$1,MONTH('Объемы реализации'!AA$3),Сезонность!$B$3:$M$3),0)</f>
        <v>120000</v>
      </c>
      <c r="AB11" s="57">
        <f>ROUND(Допущения!$C11*'Объемы реализации'!AB$7*SUMIF(Сезонность!$B$1:$M$1,MONTH('Объемы реализации'!AB$3),Сезонность!$B$3:$M$3),0)</f>
        <v>120000</v>
      </c>
      <c r="AC11" s="57">
        <f>ROUND(Допущения!$C11*'Объемы реализации'!AC$7*SUMIF(Сезонность!$B$1:$M$1,MONTH('Объемы реализации'!AC$3),Сезонность!$B$3:$M$3),0)</f>
        <v>120000</v>
      </c>
      <c r="AD11" s="57">
        <f>ROUND(Допущения!$C11*'Объемы реализации'!AD$7*SUMIF(Сезонность!$B$1:$M$1,MONTH('Объемы реализации'!AD$3),Сезонность!$B$3:$M$3),0)</f>
        <v>120000</v>
      </c>
      <c r="AE11" s="57">
        <f>ROUND(Допущения!$C11*'Объемы реализации'!AE$7*SUMIF(Сезонность!$B$1:$M$1,MONTH('Объемы реализации'!AE$3),Сезонность!$B$3:$M$3),0)</f>
        <v>120000</v>
      </c>
      <c r="AF11" s="57">
        <f>ROUND(Допущения!$C11*'Объемы реализации'!AF$7*SUMIF(Сезонность!$B$1:$M$1,MONTH('Объемы реализации'!AF$3),Сезонность!$B$3:$M$3),0)</f>
        <v>120000</v>
      </c>
      <c r="AG11" s="57">
        <f>ROUND(Допущения!$C11*'Объемы реализации'!AG$7*SUMIF(Сезонность!$B$1:$M$1,MONTH('Объемы реализации'!AG$3),Сезонность!$B$3:$M$3),0)</f>
        <v>120000</v>
      </c>
      <c r="AH11" s="57">
        <f>ROUND(Допущения!$C11*'Объемы реализации'!AH$7*SUMIF(Сезонность!$B$1:$M$1,MONTH('Объемы реализации'!AH$3),Сезонность!$B$3:$M$3),0)</f>
        <v>120000</v>
      </c>
      <c r="AI11" s="57">
        <f>ROUND(Допущения!$C11*'Объемы реализации'!AI$7*SUMIF(Сезонность!$B$1:$M$1,MONTH('Объемы реализации'!AI$3),Сезонность!$B$3:$M$3),0)</f>
        <v>120000</v>
      </c>
      <c r="AJ11" s="57">
        <f>ROUND(Допущения!$C11*'Объемы реализации'!AJ$7*SUMIF(Сезонность!$B$1:$M$1,MONTH('Объемы реализации'!AJ$3),Сезонность!$B$3:$M$3),0)</f>
        <v>120000</v>
      </c>
      <c r="AK11" s="57">
        <f>ROUND(Допущения!$C11*'Объемы реализации'!AK$7*SUMIF(Сезонность!$B$1:$M$1,MONTH('Объемы реализации'!AK$3),Сезонность!$B$3:$M$3),0)</f>
        <v>120000</v>
      </c>
      <c r="AL11" s="57">
        <f>ROUND(Допущения!$C11*'Объемы реализации'!AL$7*SUMIF(Сезонность!$B$1:$M$1,MONTH('Объемы реализации'!AL$3),Сезонность!$B$3:$M$3),0)</f>
        <v>120000</v>
      </c>
      <c r="AM11" s="57">
        <f>ROUND(Допущения!$C11*'Объемы реализации'!AM$7*SUMIF(Сезонность!$B$1:$M$1,MONTH('Объемы реализации'!AM$3),Сезонность!$B$3:$M$3),0)</f>
        <v>120000</v>
      </c>
      <c r="AN11" s="57">
        <f>ROUND(Допущения!$C11*'Объемы реализации'!AN$7*SUMIF(Сезонность!$B$1:$M$1,MONTH('Объемы реализации'!AN$3),Сезонность!$B$3:$M$3),0)</f>
        <v>120000</v>
      </c>
      <c r="AO11" s="57">
        <f>ROUND(Допущения!$C11*'Объемы реализации'!AO$7*SUMIF(Сезонность!$B$1:$M$1,MONTH('Объемы реализации'!AO$3),Сезонность!$B$3:$M$3),0)</f>
        <v>120000</v>
      </c>
      <c r="AP11" s="57">
        <f>ROUND(Допущения!$C11*'Объемы реализации'!AP$7*SUMIF(Сезонность!$B$1:$M$1,MONTH('Объемы реализации'!AP$3),Сезонность!$B$3:$M$3),0)</f>
        <v>120000</v>
      </c>
      <c r="AQ11" s="57">
        <f>ROUND(Допущения!$C11*'Объемы реализации'!AQ$7*SUMIF(Сезонность!$B$1:$M$1,MONTH('Объемы реализации'!AQ$3),Сезонность!$B$3:$M$3),0)</f>
        <v>120000</v>
      </c>
      <c r="AR11" s="57">
        <f>ROUND(Допущения!$C11*'Объемы реализации'!AR$7*SUMIF(Сезонность!$B$1:$M$1,MONTH('Объемы реализации'!AR$3),Сезонность!$B$3:$M$3),0)</f>
        <v>120000</v>
      </c>
      <c r="AS11" s="57">
        <f>ROUND(Допущения!$C11*'Объемы реализации'!AS$7*SUMIF(Сезонность!$B$1:$M$1,MONTH('Объемы реализации'!AS$3),Сезонность!$B$3:$M$3),0)</f>
        <v>120000</v>
      </c>
      <c r="AT11" s="57">
        <f>ROUND(Допущения!$C11*'Объемы реализации'!AT$7*SUMIF(Сезонность!$B$1:$M$1,MONTH('Объемы реализации'!AT$3),Сезонность!$B$3:$M$3),0)</f>
        <v>120000</v>
      </c>
      <c r="AU11" s="57">
        <f>ROUND(Допущения!$C11*'Объемы реализации'!AU$7*SUMIF(Сезонность!$B$1:$M$1,MONTH('Объемы реализации'!AU$3),Сезонность!$B$3:$M$3),0)</f>
        <v>120000</v>
      </c>
      <c r="AV11" s="57">
        <f>ROUND(Допущения!$C11*'Объемы реализации'!AV$7*SUMIF(Сезонность!$B$1:$M$1,MONTH('Объемы реализации'!AV$3),Сезонность!$B$3:$M$3),0)</f>
        <v>120000</v>
      </c>
      <c r="AW11" s="57">
        <f>ROUND(Допущения!$C11*'Объемы реализации'!AW$7*SUMIF(Сезонность!$B$1:$M$1,MONTH('Объемы реализации'!AW$3),Сезонность!$B$3:$M$3),0)</f>
        <v>120000</v>
      </c>
      <c r="AX11" s="57">
        <f>ROUND(Допущения!$C11*'Объемы реализации'!AX$7*SUMIF(Сезонность!$B$1:$M$1,MONTH('Объемы реализации'!AX$3),Сезонность!$B$3:$M$3),0)</f>
        <v>120000</v>
      </c>
      <c r="AY11" s="57">
        <f>ROUND(Допущения!$C11*'Объемы реализации'!AY$7*SUMIF(Сезонность!$B$1:$M$1,MONTH('Объемы реализации'!AY$3),Сезонность!$B$3:$M$3),0)</f>
        <v>120000</v>
      </c>
      <c r="AZ11" s="57">
        <f>ROUND(Допущения!$C11*'Объемы реализации'!AZ$7*SUMIF(Сезонность!$B$1:$M$1,MONTH('Объемы реализации'!AZ$3),Сезонность!$B$3:$M$3),0)</f>
        <v>120000</v>
      </c>
      <c r="BA11" s="57">
        <f>ROUND(Допущения!$C11*'Объемы реализации'!BA$7*SUMIF(Сезонность!$B$1:$M$1,MONTH('Объемы реализации'!BA$3),Сезонность!$B$3:$M$3),0)</f>
        <v>120000</v>
      </c>
      <c r="BB11" s="57">
        <f>ROUND(Допущения!$C11*'Объемы реализации'!BB$7*SUMIF(Сезонность!$B$1:$M$1,MONTH('Объемы реализации'!BB$3),Сезонность!$B$3:$M$3),0)</f>
        <v>120000</v>
      </c>
      <c r="BC11" s="57">
        <f>ROUND(Допущения!$C11*'Объемы реализации'!BC$7*SUMIF(Сезонность!$B$1:$M$1,MONTH('Объемы реализации'!BC$3),Сезонность!$B$3:$M$3),0)</f>
        <v>120000</v>
      </c>
      <c r="BD11" s="57">
        <f>ROUND(Допущения!$C11*'Объемы реализации'!BD$7*SUMIF(Сезонность!$B$1:$M$1,MONTH('Объемы реализации'!BD$3),Сезонность!$B$3:$M$3),0)</f>
        <v>120000</v>
      </c>
      <c r="BE11" s="57">
        <f>ROUND(Допущения!$C11*'Объемы реализации'!BE$7*SUMIF(Сезонность!$B$1:$M$1,MONTH('Объемы реализации'!BE$3),Сезонность!$B$3:$M$3),0)</f>
        <v>120000</v>
      </c>
      <c r="BF11" s="57">
        <f>ROUND(Допущения!$C11*'Объемы реализации'!BF$7*SUMIF(Сезонность!$B$1:$M$1,MONTH('Объемы реализации'!BF$3),Сезонность!$B$3:$M$3),0)</f>
        <v>120000</v>
      </c>
      <c r="BG11" s="57">
        <f>ROUND(Допущения!$C11*'Объемы реализации'!BG$7*SUMIF(Сезонность!$B$1:$M$1,MONTH('Объемы реализации'!BG$3),Сезонность!$B$3:$M$3),0)</f>
        <v>120000</v>
      </c>
      <c r="BH11" s="57">
        <f>ROUND(Допущения!$C11*'Объемы реализации'!BH$7*SUMIF(Сезонность!$B$1:$M$1,MONTH('Объемы реализации'!BH$3),Сезонность!$B$3:$M$3),0)</f>
        <v>120000</v>
      </c>
      <c r="BI11" s="57">
        <f>ROUND(Допущения!$C11*'Объемы реализации'!BI$7*SUMIF(Сезонность!$B$1:$M$1,MONTH('Объемы реализации'!BI$3),Сезонность!$B$3:$M$3),0)</f>
        <v>120000</v>
      </c>
      <c r="BJ11" s="57">
        <f>ROUND(Допущения!$C11*'Объемы реализации'!BJ$7*SUMIF(Сезонность!$B$1:$M$1,MONTH('Объемы реализации'!BJ$3),Сезонность!$B$3:$M$3),0)</f>
        <v>120000</v>
      </c>
      <c r="BL11" s="57">
        <f t="shared" si="16"/>
        <v>24000</v>
      </c>
      <c r="BM11" s="57">
        <f t="shared" si="16"/>
        <v>1296000</v>
      </c>
      <c r="BN11" s="57">
        <f t="shared" si="16"/>
        <v>1440000</v>
      </c>
      <c r="BO11" s="57">
        <f t="shared" si="16"/>
        <v>1440000</v>
      </c>
      <c r="BP11" s="57">
        <f t="shared" si="16"/>
        <v>1440000</v>
      </c>
      <c r="BQ11" s="57">
        <f t="shared" si="16"/>
        <v>960000</v>
      </c>
    </row>
    <row r="12" spans="1:116">
      <c r="A12" s="232" t="str">
        <f>Допущения!A12</f>
        <v>Котлеты замороженные</v>
      </c>
      <c r="B12" s="233" t="str">
        <f>Допущения!B12</f>
        <v>кг/мес.</v>
      </c>
      <c r="C12" s="57">
        <f>ROUND(Допущения!$C12*'Объемы реализации'!C$7*SUMIF(Сезонность!$B$1:$M$1,MONTH('Объемы реализации'!C$3),Сезонность!$B$3:$M$3),0)</f>
        <v>0</v>
      </c>
      <c r="D12" s="57">
        <f>ROUND(Допущения!$C12*'Объемы реализации'!D$7*SUMIF(Сезонность!$B$1:$M$1,MONTH('Объемы реализации'!D$3),Сезонность!$B$3:$M$3),0)</f>
        <v>0</v>
      </c>
      <c r="E12" s="57">
        <f>ROUND(Допущения!$C12*'Объемы реализации'!E$7*SUMIF(Сезонность!$B$1:$M$1,MONTH('Объемы реализации'!E$3),Сезонность!$B$3:$M$3),0)</f>
        <v>0</v>
      </c>
      <c r="F12" s="57">
        <f>ROUND(Допущения!$C12*'Объемы реализации'!F$7*SUMIF(Сезонность!$B$1:$M$1,MONTH('Объемы реализации'!F$3),Сезонность!$B$3:$M$3),0)</f>
        <v>21000</v>
      </c>
      <c r="G12" s="57">
        <f>ROUND(Допущения!$C12*'Объемы реализации'!G$7*SUMIF(Сезонность!$B$1:$M$1,MONTH('Объемы реализации'!G$3),Сезонность!$B$3:$M$3),0)</f>
        <v>42000</v>
      </c>
      <c r="H12" s="57">
        <f>ROUND(Допущения!$C12*'Объемы реализации'!H$7*SUMIF(Сезонность!$B$1:$M$1,MONTH('Объемы реализации'!H$3),Сезонность!$B$3:$M$3),0)</f>
        <v>63000</v>
      </c>
      <c r="I12" s="57">
        <f>ROUND(Допущения!$C12*'Объемы реализации'!I$7*SUMIF(Сезонность!$B$1:$M$1,MONTH('Объемы реализации'!I$3),Сезонность!$B$3:$M$3),0)</f>
        <v>84000</v>
      </c>
      <c r="J12" s="57">
        <f>ROUND(Допущения!$C12*'Объемы реализации'!J$7*SUMIF(Сезонность!$B$1:$M$1,MONTH('Объемы реализации'!J$3),Сезонность!$B$3:$M$3),0)</f>
        <v>105000</v>
      </c>
      <c r="K12" s="57">
        <f>ROUND(Допущения!$C12*'Объемы реализации'!K$7*SUMIF(Сезонность!$B$1:$M$1,MONTH('Объемы реализации'!K$3),Сезонность!$B$3:$M$3),0)</f>
        <v>105000</v>
      </c>
      <c r="L12" s="57">
        <f>ROUND(Допущения!$C12*'Объемы реализации'!L$7*SUMIF(Сезонность!$B$1:$M$1,MONTH('Объемы реализации'!L$3),Сезонность!$B$3:$M$3),0)</f>
        <v>105000</v>
      </c>
      <c r="M12" s="57">
        <f>ROUND(Допущения!$C12*'Объемы реализации'!M$7*SUMIF(Сезонность!$B$1:$M$1,MONTH('Объемы реализации'!M$3),Сезонность!$B$3:$M$3),0)</f>
        <v>105000</v>
      </c>
      <c r="N12" s="57">
        <f>ROUND(Допущения!$C12*'Объемы реализации'!N$7*SUMIF(Сезонность!$B$1:$M$1,MONTH('Объемы реализации'!N$3),Сезонность!$B$3:$M$3),0)</f>
        <v>105000</v>
      </c>
      <c r="O12" s="57">
        <f>ROUND(Допущения!$C12*'Объемы реализации'!O$7*SUMIF(Сезонность!$B$1:$M$1,MONTH('Объемы реализации'!O$3),Сезонность!$B$3:$M$3),0)</f>
        <v>105000</v>
      </c>
      <c r="P12" s="57">
        <f>ROUND(Допущения!$C12*'Объемы реализации'!P$7*SUMIF(Сезонность!$B$1:$M$1,MONTH('Объемы реализации'!P$3),Сезонность!$B$3:$M$3),0)</f>
        <v>105000</v>
      </c>
      <c r="Q12" s="57">
        <f>ROUND(Допущения!$C12*'Объемы реализации'!Q$7*SUMIF(Сезонность!$B$1:$M$1,MONTH('Объемы реализации'!Q$3),Сезонность!$B$3:$M$3),0)</f>
        <v>105000</v>
      </c>
      <c r="R12" s="57">
        <f>ROUND(Допущения!$C12*'Объемы реализации'!R$7*SUMIF(Сезонность!$B$1:$M$1,MONTH('Объемы реализации'!R$3),Сезонность!$B$3:$M$3),0)</f>
        <v>105000</v>
      </c>
      <c r="S12" s="57">
        <f>ROUND(Допущения!$C12*'Объемы реализации'!S$7*SUMIF(Сезонность!$B$1:$M$1,MONTH('Объемы реализации'!S$3),Сезонность!$B$3:$M$3),0)</f>
        <v>105000</v>
      </c>
      <c r="T12" s="57">
        <f>ROUND(Допущения!$C12*'Объемы реализации'!T$7*SUMIF(Сезонность!$B$1:$M$1,MONTH('Объемы реализации'!T$3),Сезонность!$B$3:$M$3),0)</f>
        <v>105000</v>
      </c>
      <c r="U12" s="57">
        <f>ROUND(Допущения!$C12*'Объемы реализации'!U$7*SUMIF(Сезонность!$B$1:$M$1,MONTH('Объемы реализации'!U$3),Сезонность!$B$3:$M$3),0)</f>
        <v>105000</v>
      </c>
      <c r="V12" s="57">
        <f>ROUND(Допущения!$C12*'Объемы реализации'!V$7*SUMIF(Сезонность!$B$1:$M$1,MONTH('Объемы реализации'!V$3),Сезонность!$B$3:$M$3),0)</f>
        <v>105000</v>
      </c>
      <c r="W12" s="57">
        <f>ROUND(Допущения!$C12*'Объемы реализации'!W$7*SUMIF(Сезонность!$B$1:$M$1,MONTH('Объемы реализации'!W$3),Сезонность!$B$3:$M$3),0)</f>
        <v>105000</v>
      </c>
      <c r="X12" s="57">
        <f>ROUND(Допущения!$C12*'Объемы реализации'!X$7*SUMIF(Сезонность!$B$1:$M$1,MONTH('Объемы реализации'!X$3),Сезонность!$B$3:$M$3),0)</f>
        <v>105000</v>
      </c>
      <c r="Y12" s="57">
        <f>ROUND(Допущения!$C12*'Объемы реализации'!Y$7*SUMIF(Сезонность!$B$1:$M$1,MONTH('Объемы реализации'!Y$3),Сезонность!$B$3:$M$3),0)</f>
        <v>105000</v>
      </c>
      <c r="Z12" s="57">
        <f>ROUND(Допущения!$C12*'Объемы реализации'!Z$7*SUMIF(Сезонность!$B$1:$M$1,MONTH('Объемы реализации'!Z$3),Сезонность!$B$3:$M$3),0)</f>
        <v>105000</v>
      </c>
      <c r="AA12" s="57">
        <f>ROUND(Допущения!$C12*'Объемы реализации'!AA$7*SUMIF(Сезонность!$B$1:$M$1,MONTH('Объемы реализации'!AA$3),Сезонность!$B$3:$M$3),0)</f>
        <v>105000</v>
      </c>
      <c r="AB12" s="57">
        <f>ROUND(Допущения!$C12*'Объемы реализации'!AB$7*SUMIF(Сезонность!$B$1:$M$1,MONTH('Объемы реализации'!AB$3),Сезонность!$B$3:$M$3),0)</f>
        <v>105000</v>
      </c>
      <c r="AC12" s="57">
        <f>ROUND(Допущения!$C12*'Объемы реализации'!AC$7*SUMIF(Сезонность!$B$1:$M$1,MONTH('Объемы реализации'!AC$3),Сезонность!$B$3:$M$3),0)</f>
        <v>105000</v>
      </c>
      <c r="AD12" s="57">
        <f>ROUND(Допущения!$C12*'Объемы реализации'!AD$7*SUMIF(Сезонность!$B$1:$M$1,MONTH('Объемы реализации'!AD$3),Сезонность!$B$3:$M$3),0)</f>
        <v>105000</v>
      </c>
      <c r="AE12" s="57">
        <f>ROUND(Допущения!$C12*'Объемы реализации'!AE$7*SUMIF(Сезонность!$B$1:$M$1,MONTH('Объемы реализации'!AE$3),Сезонность!$B$3:$M$3),0)</f>
        <v>105000</v>
      </c>
      <c r="AF12" s="57">
        <f>ROUND(Допущения!$C12*'Объемы реализации'!AF$7*SUMIF(Сезонность!$B$1:$M$1,MONTH('Объемы реализации'!AF$3),Сезонность!$B$3:$M$3),0)</f>
        <v>105000</v>
      </c>
      <c r="AG12" s="57">
        <f>ROUND(Допущения!$C12*'Объемы реализации'!AG$7*SUMIF(Сезонность!$B$1:$M$1,MONTH('Объемы реализации'!AG$3),Сезонность!$B$3:$M$3),0)</f>
        <v>105000</v>
      </c>
      <c r="AH12" s="57">
        <f>ROUND(Допущения!$C12*'Объемы реализации'!AH$7*SUMIF(Сезонность!$B$1:$M$1,MONTH('Объемы реализации'!AH$3),Сезонность!$B$3:$M$3),0)</f>
        <v>105000</v>
      </c>
      <c r="AI12" s="57">
        <f>ROUND(Допущения!$C12*'Объемы реализации'!AI$7*SUMIF(Сезонность!$B$1:$M$1,MONTH('Объемы реализации'!AI$3),Сезонность!$B$3:$M$3),0)</f>
        <v>105000</v>
      </c>
      <c r="AJ12" s="57">
        <f>ROUND(Допущения!$C12*'Объемы реализации'!AJ$7*SUMIF(Сезонность!$B$1:$M$1,MONTH('Объемы реализации'!AJ$3),Сезонность!$B$3:$M$3),0)</f>
        <v>105000</v>
      </c>
      <c r="AK12" s="57">
        <f>ROUND(Допущения!$C12*'Объемы реализации'!AK$7*SUMIF(Сезонность!$B$1:$M$1,MONTH('Объемы реализации'!AK$3),Сезонность!$B$3:$M$3),0)</f>
        <v>105000</v>
      </c>
      <c r="AL12" s="57">
        <f>ROUND(Допущения!$C12*'Объемы реализации'!AL$7*SUMIF(Сезонность!$B$1:$M$1,MONTH('Объемы реализации'!AL$3),Сезонность!$B$3:$M$3),0)</f>
        <v>105000</v>
      </c>
      <c r="AM12" s="57">
        <f>ROUND(Допущения!$C12*'Объемы реализации'!AM$7*SUMIF(Сезонность!$B$1:$M$1,MONTH('Объемы реализации'!AM$3),Сезонность!$B$3:$M$3),0)</f>
        <v>105000</v>
      </c>
      <c r="AN12" s="57">
        <f>ROUND(Допущения!$C12*'Объемы реализации'!AN$7*SUMIF(Сезонность!$B$1:$M$1,MONTH('Объемы реализации'!AN$3),Сезонность!$B$3:$M$3),0)</f>
        <v>105000</v>
      </c>
      <c r="AO12" s="57">
        <f>ROUND(Допущения!$C12*'Объемы реализации'!AO$7*SUMIF(Сезонность!$B$1:$M$1,MONTH('Объемы реализации'!AO$3),Сезонность!$B$3:$M$3),0)</f>
        <v>105000</v>
      </c>
      <c r="AP12" s="57">
        <f>ROUND(Допущения!$C12*'Объемы реализации'!AP$7*SUMIF(Сезонность!$B$1:$M$1,MONTH('Объемы реализации'!AP$3),Сезонность!$B$3:$M$3),0)</f>
        <v>105000</v>
      </c>
      <c r="AQ12" s="57">
        <f>ROUND(Допущения!$C12*'Объемы реализации'!AQ$7*SUMIF(Сезонность!$B$1:$M$1,MONTH('Объемы реализации'!AQ$3),Сезонность!$B$3:$M$3),0)</f>
        <v>105000</v>
      </c>
      <c r="AR12" s="57">
        <f>ROUND(Допущения!$C12*'Объемы реализации'!AR$7*SUMIF(Сезонность!$B$1:$M$1,MONTH('Объемы реализации'!AR$3),Сезонность!$B$3:$M$3),0)</f>
        <v>105000</v>
      </c>
      <c r="AS12" s="57">
        <f>ROUND(Допущения!$C12*'Объемы реализации'!AS$7*SUMIF(Сезонность!$B$1:$M$1,MONTH('Объемы реализации'!AS$3),Сезонность!$B$3:$M$3),0)</f>
        <v>105000</v>
      </c>
      <c r="AT12" s="57">
        <f>ROUND(Допущения!$C12*'Объемы реализации'!AT$7*SUMIF(Сезонность!$B$1:$M$1,MONTH('Объемы реализации'!AT$3),Сезонность!$B$3:$M$3),0)</f>
        <v>105000</v>
      </c>
      <c r="AU12" s="57">
        <f>ROUND(Допущения!$C12*'Объемы реализации'!AU$7*SUMIF(Сезонность!$B$1:$M$1,MONTH('Объемы реализации'!AU$3),Сезонность!$B$3:$M$3),0)</f>
        <v>105000</v>
      </c>
      <c r="AV12" s="57">
        <f>ROUND(Допущения!$C12*'Объемы реализации'!AV$7*SUMIF(Сезонность!$B$1:$M$1,MONTH('Объемы реализации'!AV$3),Сезонность!$B$3:$M$3),0)</f>
        <v>105000</v>
      </c>
      <c r="AW12" s="57">
        <f>ROUND(Допущения!$C12*'Объемы реализации'!AW$7*SUMIF(Сезонность!$B$1:$M$1,MONTH('Объемы реализации'!AW$3),Сезонность!$B$3:$M$3),0)</f>
        <v>105000</v>
      </c>
      <c r="AX12" s="57">
        <f>ROUND(Допущения!$C12*'Объемы реализации'!AX$7*SUMIF(Сезонность!$B$1:$M$1,MONTH('Объемы реализации'!AX$3),Сезонность!$B$3:$M$3),0)</f>
        <v>105000</v>
      </c>
      <c r="AY12" s="57">
        <f>ROUND(Допущения!$C12*'Объемы реализации'!AY$7*SUMIF(Сезонность!$B$1:$M$1,MONTH('Объемы реализации'!AY$3),Сезонность!$B$3:$M$3),0)</f>
        <v>105000</v>
      </c>
      <c r="AZ12" s="57">
        <f>ROUND(Допущения!$C12*'Объемы реализации'!AZ$7*SUMIF(Сезонность!$B$1:$M$1,MONTH('Объемы реализации'!AZ$3),Сезонность!$B$3:$M$3),0)</f>
        <v>105000</v>
      </c>
      <c r="BA12" s="57">
        <f>ROUND(Допущения!$C12*'Объемы реализации'!BA$7*SUMIF(Сезонность!$B$1:$M$1,MONTH('Объемы реализации'!BA$3),Сезонность!$B$3:$M$3),0)</f>
        <v>105000</v>
      </c>
      <c r="BB12" s="57">
        <f>ROUND(Допущения!$C12*'Объемы реализации'!BB$7*SUMIF(Сезонность!$B$1:$M$1,MONTH('Объемы реализации'!BB$3),Сезонность!$B$3:$M$3),0)</f>
        <v>105000</v>
      </c>
      <c r="BC12" s="57">
        <f>ROUND(Допущения!$C12*'Объемы реализации'!BC$7*SUMIF(Сезонность!$B$1:$M$1,MONTH('Объемы реализации'!BC$3),Сезонность!$B$3:$M$3),0)</f>
        <v>105000</v>
      </c>
      <c r="BD12" s="57">
        <f>ROUND(Допущения!$C12*'Объемы реализации'!BD$7*SUMIF(Сезонность!$B$1:$M$1,MONTH('Объемы реализации'!BD$3),Сезонность!$B$3:$M$3),0)</f>
        <v>105000</v>
      </c>
      <c r="BE12" s="57">
        <f>ROUND(Допущения!$C12*'Объемы реализации'!BE$7*SUMIF(Сезонность!$B$1:$M$1,MONTH('Объемы реализации'!BE$3),Сезонность!$B$3:$M$3),0)</f>
        <v>105000</v>
      </c>
      <c r="BF12" s="57">
        <f>ROUND(Допущения!$C12*'Объемы реализации'!BF$7*SUMIF(Сезонность!$B$1:$M$1,MONTH('Объемы реализации'!BF$3),Сезонность!$B$3:$M$3),0)</f>
        <v>105000</v>
      </c>
      <c r="BG12" s="57">
        <f>ROUND(Допущения!$C12*'Объемы реализации'!BG$7*SUMIF(Сезонность!$B$1:$M$1,MONTH('Объемы реализации'!BG$3),Сезонность!$B$3:$M$3),0)</f>
        <v>105000</v>
      </c>
      <c r="BH12" s="57">
        <f>ROUND(Допущения!$C12*'Объемы реализации'!BH$7*SUMIF(Сезонность!$B$1:$M$1,MONTH('Объемы реализации'!BH$3),Сезонность!$B$3:$M$3),0)</f>
        <v>105000</v>
      </c>
      <c r="BI12" s="57">
        <f>ROUND(Допущения!$C12*'Объемы реализации'!BI$7*SUMIF(Сезонность!$B$1:$M$1,MONTH('Объемы реализации'!BI$3),Сезонность!$B$3:$M$3),0)</f>
        <v>105000</v>
      </c>
      <c r="BJ12" s="57">
        <f>ROUND(Допущения!$C12*'Объемы реализации'!BJ$7*SUMIF(Сезонность!$B$1:$M$1,MONTH('Объемы реализации'!BJ$3),Сезонность!$B$3:$M$3),0)</f>
        <v>105000</v>
      </c>
      <c r="BL12" s="57">
        <f t="shared" si="16"/>
        <v>21000</v>
      </c>
      <c r="BM12" s="57">
        <f t="shared" si="16"/>
        <v>1134000</v>
      </c>
      <c r="BN12" s="57">
        <f t="shared" si="16"/>
        <v>1260000</v>
      </c>
      <c r="BO12" s="57">
        <f t="shared" si="16"/>
        <v>1260000</v>
      </c>
      <c r="BP12" s="57">
        <f t="shared" si="16"/>
        <v>1260000</v>
      </c>
      <c r="BQ12" s="57">
        <f t="shared" si="16"/>
        <v>840000</v>
      </c>
    </row>
    <row r="13" spans="1:116">
      <c r="A13" s="232" t="str">
        <f>Допущения!A13</f>
        <v>Шашлык маринованный</v>
      </c>
      <c r="B13" s="233" t="str">
        <f>Допущения!B13</f>
        <v>кг/мес.</v>
      </c>
      <c r="C13" s="57">
        <f>ROUND(Допущения!$C13*'Объемы реализации'!C$7*SUMIF(Сезонность!$B$1:$M$1,MONTH('Объемы реализации'!C$3),Сезонность!$B$3:$M$3),0)</f>
        <v>0</v>
      </c>
      <c r="D13" s="57">
        <f>ROUND(Допущения!$C13*'Объемы реализации'!D$7*SUMIF(Сезонность!$B$1:$M$1,MONTH('Объемы реализации'!D$3),Сезонность!$B$3:$M$3),0)</f>
        <v>0</v>
      </c>
      <c r="E13" s="57">
        <f>ROUND(Допущения!$C13*'Объемы реализации'!E$7*SUMIF(Сезонность!$B$1:$M$1,MONTH('Объемы реализации'!E$3),Сезонность!$B$3:$M$3),0)</f>
        <v>0</v>
      </c>
      <c r="F13" s="57">
        <f>ROUND(Допущения!$C13*'Объемы реализации'!F$7*SUMIF(Сезонность!$B$1:$M$1,MONTH('Объемы реализации'!F$3),Сезонность!$B$3:$M$3),0)</f>
        <v>30000</v>
      </c>
      <c r="G13" s="57">
        <f>ROUND(Допущения!$C13*'Объемы реализации'!G$7*SUMIF(Сезонность!$B$1:$M$1,MONTH('Объемы реализации'!G$3),Сезонность!$B$3:$M$3),0)</f>
        <v>60000</v>
      </c>
      <c r="H13" s="57">
        <f>ROUND(Допущения!$C13*'Объемы реализации'!H$7*SUMIF(Сезонность!$B$1:$M$1,MONTH('Объемы реализации'!H$3),Сезонность!$B$3:$M$3),0)</f>
        <v>90000</v>
      </c>
      <c r="I13" s="57">
        <f>ROUND(Допущения!$C13*'Объемы реализации'!I$7*SUMIF(Сезонность!$B$1:$M$1,MONTH('Объемы реализации'!I$3),Сезонность!$B$3:$M$3),0)</f>
        <v>120000</v>
      </c>
      <c r="J13" s="57">
        <f>ROUND(Допущения!$C13*'Объемы реализации'!J$7*SUMIF(Сезонность!$B$1:$M$1,MONTH('Объемы реализации'!J$3),Сезонность!$B$3:$M$3),0)</f>
        <v>150000</v>
      </c>
      <c r="K13" s="57">
        <f>ROUND(Допущения!$C13*'Объемы реализации'!K$7*SUMIF(Сезонность!$B$1:$M$1,MONTH('Объемы реализации'!K$3),Сезонность!$B$3:$M$3),0)</f>
        <v>150000</v>
      </c>
      <c r="L13" s="57">
        <f>ROUND(Допущения!$C13*'Объемы реализации'!L$7*SUMIF(Сезонность!$B$1:$M$1,MONTH('Объемы реализации'!L$3),Сезонность!$B$3:$M$3),0)</f>
        <v>150000</v>
      </c>
      <c r="M13" s="57">
        <f>ROUND(Допущения!$C13*'Объемы реализации'!M$7*SUMIF(Сезонность!$B$1:$M$1,MONTH('Объемы реализации'!M$3),Сезонность!$B$3:$M$3),0)</f>
        <v>150000</v>
      </c>
      <c r="N13" s="57">
        <f>ROUND(Допущения!$C13*'Объемы реализации'!N$7*SUMIF(Сезонность!$B$1:$M$1,MONTH('Объемы реализации'!N$3),Сезонность!$B$3:$M$3),0)</f>
        <v>150000</v>
      </c>
      <c r="O13" s="57">
        <f>ROUND(Допущения!$C13*'Объемы реализации'!O$7*SUMIF(Сезонность!$B$1:$M$1,MONTH('Объемы реализации'!O$3),Сезонность!$B$3:$M$3),0)</f>
        <v>150000</v>
      </c>
      <c r="P13" s="57">
        <f>ROUND(Допущения!$C13*'Объемы реализации'!P$7*SUMIF(Сезонность!$B$1:$M$1,MONTH('Объемы реализации'!P$3),Сезонность!$B$3:$M$3),0)</f>
        <v>150000</v>
      </c>
      <c r="Q13" s="57">
        <f>ROUND(Допущения!$C13*'Объемы реализации'!Q$7*SUMIF(Сезонность!$B$1:$M$1,MONTH('Объемы реализации'!Q$3),Сезонность!$B$3:$M$3),0)</f>
        <v>150000</v>
      </c>
      <c r="R13" s="57">
        <f>ROUND(Допущения!$C13*'Объемы реализации'!R$7*SUMIF(Сезонность!$B$1:$M$1,MONTH('Объемы реализации'!R$3),Сезонность!$B$3:$M$3),0)</f>
        <v>150000</v>
      </c>
      <c r="S13" s="57">
        <f>ROUND(Допущения!$C13*'Объемы реализации'!S$7*SUMIF(Сезонность!$B$1:$M$1,MONTH('Объемы реализации'!S$3),Сезонность!$B$3:$M$3),0)</f>
        <v>150000</v>
      </c>
      <c r="T13" s="57">
        <f>ROUND(Допущения!$C13*'Объемы реализации'!T$7*SUMIF(Сезонность!$B$1:$M$1,MONTH('Объемы реализации'!T$3),Сезонность!$B$3:$M$3),0)</f>
        <v>150000</v>
      </c>
      <c r="U13" s="57">
        <f>ROUND(Допущения!$C13*'Объемы реализации'!U$7*SUMIF(Сезонность!$B$1:$M$1,MONTH('Объемы реализации'!U$3),Сезонность!$B$3:$M$3),0)</f>
        <v>150000</v>
      </c>
      <c r="V13" s="57">
        <f>ROUND(Допущения!$C13*'Объемы реализации'!V$7*SUMIF(Сезонность!$B$1:$M$1,MONTH('Объемы реализации'!V$3),Сезонность!$B$3:$M$3),0)</f>
        <v>150000</v>
      </c>
      <c r="W13" s="57">
        <f>ROUND(Допущения!$C13*'Объемы реализации'!W$7*SUMIF(Сезонность!$B$1:$M$1,MONTH('Объемы реализации'!W$3),Сезонность!$B$3:$M$3),0)</f>
        <v>150000</v>
      </c>
      <c r="X13" s="57">
        <f>ROUND(Допущения!$C13*'Объемы реализации'!X$7*SUMIF(Сезонность!$B$1:$M$1,MONTH('Объемы реализации'!X$3),Сезонность!$B$3:$M$3),0)</f>
        <v>150000</v>
      </c>
      <c r="Y13" s="57">
        <f>ROUND(Допущения!$C13*'Объемы реализации'!Y$7*SUMIF(Сезонность!$B$1:$M$1,MONTH('Объемы реализации'!Y$3),Сезонность!$B$3:$M$3),0)</f>
        <v>150000</v>
      </c>
      <c r="Z13" s="57">
        <f>ROUND(Допущения!$C13*'Объемы реализации'!Z$7*SUMIF(Сезонность!$B$1:$M$1,MONTH('Объемы реализации'!Z$3),Сезонность!$B$3:$M$3),0)</f>
        <v>150000</v>
      </c>
      <c r="AA13" s="57">
        <f>ROUND(Допущения!$C13*'Объемы реализации'!AA$7*SUMIF(Сезонность!$B$1:$M$1,MONTH('Объемы реализации'!AA$3),Сезонность!$B$3:$M$3),0)</f>
        <v>150000</v>
      </c>
      <c r="AB13" s="57">
        <f>ROUND(Допущения!$C13*'Объемы реализации'!AB$7*SUMIF(Сезонность!$B$1:$M$1,MONTH('Объемы реализации'!AB$3),Сезонность!$B$3:$M$3),0)</f>
        <v>150000</v>
      </c>
      <c r="AC13" s="57">
        <f>ROUND(Допущения!$C13*'Объемы реализации'!AC$7*SUMIF(Сезонность!$B$1:$M$1,MONTH('Объемы реализации'!AC$3),Сезонность!$B$3:$M$3),0)</f>
        <v>150000</v>
      </c>
      <c r="AD13" s="57">
        <f>ROUND(Допущения!$C13*'Объемы реализации'!AD$7*SUMIF(Сезонность!$B$1:$M$1,MONTH('Объемы реализации'!AD$3),Сезонность!$B$3:$M$3),0)</f>
        <v>150000</v>
      </c>
      <c r="AE13" s="57">
        <f>ROUND(Допущения!$C13*'Объемы реализации'!AE$7*SUMIF(Сезонность!$B$1:$M$1,MONTH('Объемы реализации'!AE$3),Сезонность!$B$3:$M$3),0)</f>
        <v>150000</v>
      </c>
      <c r="AF13" s="57">
        <f>ROUND(Допущения!$C13*'Объемы реализации'!AF$7*SUMIF(Сезонность!$B$1:$M$1,MONTH('Объемы реализации'!AF$3),Сезонность!$B$3:$M$3),0)</f>
        <v>150000</v>
      </c>
      <c r="AG13" s="57">
        <f>ROUND(Допущения!$C13*'Объемы реализации'!AG$7*SUMIF(Сезонность!$B$1:$M$1,MONTH('Объемы реализации'!AG$3),Сезонность!$B$3:$M$3),0)</f>
        <v>150000</v>
      </c>
      <c r="AH13" s="57">
        <f>ROUND(Допущения!$C13*'Объемы реализации'!AH$7*SUMIF(Сезонность!$B$1:$M$1,MONTH('Объемы реализации'!AH$3),Сезонность!$B$3:$M$3),0)</f>
        <v>150000</v>
      </c>
      <c r="AI13" s="57">
        <f>ROUND(Допущения!$C13*'Объемы реализации'!AI$7*SUMIF(Сезонность!$B$1:$M$1,MONTH('Объемы реализации'!AI$3),Сезонность!$B$3:$M$3),0)</f>
        <v>150000</v>
      </c>
      <c r="AJ13" s="57">
        <f>ROUND(Допущения!$C13*'Объемы реализации'!AJ$7*SUMIF(Сезонность!$B$1:$M$1,MONTH('Объемы реализации'!AJ$3),Сезонность!$B$3:$M$3),0)</f>
        <v>150000</v>
      </c>
      <c r="AK13" s="57">
        <f>ROUND(Допущения!$C13*'Объемы реализации'!AK$7*SUMIF(Сезонность!$B$1:$M$1,MONTH('Объемы реализации'!AK$3),Сезонность!$B$3:$M$3),0)</f>
        <v>150000</v>
      </c>
      <c r="AL13" s="57">
        <f>ROUND(Допущения!$C13*'Объемы реализации'!AL$7*SUMIF(Сезонность!$B$1:$M$1,MONTH('Объемы реализации'!AL$3),Сезонность!$B$3:$M$3),0)</f>
        <v>150000</v>
      </c>
      <c r="AM13" s="57">
        <f>ROUND(Допущения!$C13*'Объемы реализации'!AM$7*SUMIF(Сезонность!$B$1:$M$1,MONTH('Объемы реализации'!AM$3),Сезонность!$B$3:$M$3),0)</f>
        <v>150000</v>
      </c>
      <c r="AN13" s="57">
        <f>ROUND(Допущения!$C13*'Объемы реализации'!AN$7*SUMIF(Сезонность!$B$1:$M$1,MONTH('Объемы реализации'!AN$3),Сезонность!$B$3:$M$3),0)</f>
        <v>150000</v>
      </c>
      <c r="AO13" s="57">
        <f>ROUND(Допущения!$C13*'Объемы реализации'!AO$7*SUMIF(Сезонность!$B$1:$M$1,MONTH('Объемы реализации'!AO$3),Сезонность!$B$3:$M$3),0)</f>
        <v>150000</v>
      </c>
      <c r="AP13" s="57">
        <f>ROUND(Допущения!$C13*'Объемы реализации'!AP$7*SUMIF(Сезонность!$B$1:$M$1,MONTH('Объемы реализации'!AP$3),Сезонность!$B$3:$M$3),0)</f>
        <v>150000</v>
      </c>
      <c r="AQ13" s="57">
        <f>ROUND(Допущения!$C13*'Объемы реализации'!AQ$7*SUMIF(Сезонность!$B$1:$M$1,MONTH('Объемы реализации'!AQ$3),Сезонность!$B$3:$M$3),0)</f>
        <v>150000</v>
      </c>
      <c r="AR13" s="57">
        <f>ROUND(Допущения!$C13*'Объемы реализации'!AR$7*SUMIF(Сезонность!$B$1:$M$1,MONTH('Объемы реализации'!AR$3),Сезонность!$B$3:$M$3),0)</f>
        <v>150000</v>
      </c>
      <c r="AS13" s="57">
        <f>ROUND(Допущения!$C13*'Объемы реализации'!AS$7*SUMIF(Сезонность!$B$1:$M$1,MONTH('Объемы реализации'!AS$3),Сезонность!$B$3:$M$3),0)</f>
        <v>150000</v>
      </c>
      <c r="AT13" s="57">
        <f>ROUND(Допущения!$C13*'Объемы реализации'!AT$7*SUMIF(Сезонность!$B$1:$M$1,MONTH('Объемы реализации'!AT$3),Сезонность!$B$3:$M$3),0)</f>
        <v>150000</v>
      </c>
      <c r="AU13" s="57">
        <f>ROUND(Допущения!$C13*'Объемы реализации'!AU$7*SUMIF(Сезонность!$B$1:$M$1,MONTH('Объемы реализации'!AU$3),Сезонность!$B$3:$M$3),0)</f>
        <v>150000</v>
      </c>
      <c r="AV13" s="57">
        <f>ROUND(Допущения!$C13*'Объемы реализации'!AV$7*SUMIF(Сезонность!$B$1:$M$1,MONTH('Объемы реализации'!AV$3),Сезонность!$B$3:$M$3),0)</f>
        <v>150000</v>
      </c>
      <c r="AW13" s="57">
        <f>ROUND(Допущения!$C13*'Объемы реализации'!AW$7*SUMIF(Сезонность!$B$1:$M$1,MONTH('Объемы реализации'!AW$3),Сезонность!$B$3:$M$3),0)</f>
        <v>150000</v>
      </c>
      <c r="AX13" s="57">
        <f>ROUND(Допущения!$C13*'Объемы реализации'!AX$7*SUMIF(Сезонность!$B$1:$M$1,MONTH('Объемы реализации'!AX$3),Сезонность!$B$3:$M$3),0)</f>
        <v>150000</v>
      </c>
      <c r="AY13" s="57">
        <f>ROUND(Допущения!$C13*'Объемы реализации'!AY$7*SUMIF(Сезонность!$B$1:$M$1,MONTH('Объемы реализации'!AY$3),Сезонность!$B$3:$M$3),0)</f>
        <v>150000</v>
      </c>
      <c r="AZ13" s="57">
        <f>ROUND(Допущения!$C13*'Объемы реализации'!AZ$7*SUMIF(Сезонность!$B$1:$M$1,MONTH('Объемы реализации'!AZ$3),Сезонность!$B$3:$M$3),0)</f>
        <v>150000</v>
      </c>
      <c r="BA13" s="57">
        <f>ROUND(Допущения!$C13*'Объемы реализации'!BA$7*SUMIF(Сезонность!$B$1:$M$1,MONTH('Объемы реализации'!BA$3),Сезонность!$B$3:$M$3),0)</f>
        <v>150000</v>
      </c>
      <c r="BB13" s="57">
        <f>ROUND(Допущения!$C13*'Объемы реализации'!BB$7*SUMIF(Сезонность!$B$1:$M$1,MONTH('Объемы реализации'!BB$3),Сезонность!$B$3:$M$3),0)</f>
        <v>150000</v>
      </c>
      <c r="BC13" s="57">
        <f>ROUND(Допущения!$C13*'Объемы реализации'!BC$7*SUMIF(Сезонность!$B$1:$M$1,MONTH('Объемы реализации'!BC$3),Сезонность!$B$3:$M$3),0)</f>
        <v>150000</v>
      </c>
      <c r="BD13" s="57">
        <f>ROUND(Допущения!$C13*'Объемы реализации'!BD$7*SUMIF(Сезонность!$B$1:$M$1,MONTH('Объемы реализации'!BD$3),Сезонность!$B$3:$M$3),0)</f>
        <v>150000</v>
      </c>
      <c r="BE13" s="57">
        <f>ROUND(Допущения!$C13*'Объемы реализации'!BE$7*SUMIF(Сезонность!$B$1:$M$1,MONTH('Объемы реализации'!BE$3),Сезонность!$B$3:$M$3),0)</f>
        <v>150000</v>
      </c>
      <c r="BF13" s="57">
        <f>ROUND(Допущения!$C13*'Объемы реализации'!BF$7*SUMIF(Сезонность!$B$1:$M$1,MONTH('Объемы реализации'!BF$3),Сезонность!$B$3:$M$3),0)</f>
        <v>150000</v>
      </c>
      <c r="BG13" s="57">
        <f>ROUND(Допущения!$C13*'Объемы реализации'!BG$7*SUMIF(Сезонность!$B$1:$M$1,MONTH('Объемы реализации'!BG$3),Сезонность!$B$3:$M$3),0)</f>
        <v>150000</v>
      </c>
      <c r="BH13" s="57">
        <f>ROUND(Допущения!$C13*'Объемы реализации'!BH$7*SUMIF(Сезонность!$B$1:$M$1,MONTH('Объемы реализации'!BH$3),Сезонность!$B$3:$M$3),0)</f>
        <v>150000</v>
      </c>
      <c r="BI13" s="57">
        <f>ROUND(Допущения!$C13*'Объемы реализации'!BI$7*SUMIF(Сезонность!$B$1:$M$1,MONTH('Объемы реализации'!BI$3),Сезонность!$B$3:$M$3),0)</f>
        <v>150000</v>
      </c>
      <c r="BJ13" s="57">
        <f>ROUND(Допущения!$C13*'Объемы реализации'!BJ$7*SUMIF(Сезонность!$B$1:$M$1,MONTH('Объемы реализации'!BJ$3),Сезонность!$B$3:$M$3),0)</f>
        <v>150000</v>
      </c>
      <c r="BL13" s="57">
        <f t="shared" si="16"/>
        <v>30000</v>
      </c>
      <c r="BM13" s="57">
        <f t="shared" si="16"/>
        <v>1620000</v>
      </c>
      <c r="BN13" s="57">
        <f t="shared" si="16"/>
        <v>1800000</v>
      </c>
      <c r="BO13" s="57">
        <f t="shared" si="16"/>
        <v>1800000</v>
      </c>
      <c r="BP13" s="57">
        <f t="shared" si="16"/>
        <v>1800000</v>
      </c>
      <c r="BQ13" s="57">
        <f t="shared" si="16"/>
        <v>1200000</v>
      </c>
    </row>
    <row r="14" spans="1:116">
      <c r="A14" s="232" t="str">
        <f>Допущения!A14</f>
        <v>Фрикадельки</v>
      </c>
      <c r="B14" s="233" t="str">
        <f>Допущения!B14</f>
        <v>кг/мес.</v>
      </c>
      <c r="C14" s="57">
        <f>ROUND(Допущения!$C14*'Объемы реализации'!C$7*SUMIF(Сезонность!$B$1:$M$1,MONTH('Объемы реализации'!C$3),Сезонность!$B$3:$M$3),0)</f>
        <v>0</v>
      </c>
      <c r="D14" s="57">
        <f>ROUND(Допущения!$C14*'Объемы реализации'!D$7*SUMIF(Сезонность!$B$1:$M$1,MONTH('Объемы реализации'!D$3),Сезонность!$B$3:$M$3),0)</f>
        <v>0</v>
      </c>
      <c r="E14" s="57">
        <f>ROUND(Допущения!$C14*'Объемы реализации'!E$7*SUMIF(Сезонность!$B$1:$M$1,MONTH('Объемы реализации'!E$3),Сезонность!$B$3:$M$3),0)</f>
        <v>0</v>
      </c>
      <c r="F14" s="57">
        <f>ROUND(Допущения!$C14*'Объемы реализации'!F$7*SUMIF(Сезонность!$B$1:$M$1,MONTH('Объемы реализации'!F$3),Сезонность!$B$3:$M$3),0)</f>
        <v>21000</v>
      </c>
      <c r="G14" s="57">
        <f>ROUND(Допущения!$C14*'Объемы реализации'!G$7*SUMIF(Сезонность!$B$1:$M$1,MONTH('Объемы реализации'!G$3),Сезонность!$B$3:$M$3),0)</f>
        <v>42000</v>
      </c>
      <c r="H14" s="57">
        <f>ROUND(Допущения!$C14*'Объемы реализации'!H$7*SUMIF(Сезонность!$B$1:$M$1,MONTH('Объемы реализации'!H$3),Сезонность!$B$3:$M$3),0)</f>
        <v>63000</v>
      </c>
      <c r="I14" s="57">
        <f>ROUND(Допущения!$C14*'Объемы реализации'!I$7*SUMIF(Сезонность!$B$1:$M$1,MONTH('Объемы реализации'!I$3),Сезонность!$B$3:$M$3),0)</f>
        <v>84000</v>
      </c>
      <c r="J14" s="57">
        <f>ROUND(Допущения!$C14*'Объемы реализации'!J$7*SUMIF(Сезонность!$B$1:$M$1,MONTH('Объемы реализации'!J$3),Сезонность!$B$3:$M$3),0)</f>
        <v>105000</v>
      </c>
      <c r="K14" s="57">
        <f>ROUND(Допущения!$C14*'Объемы реализации'!K$7*SUMIF(Сезонность!$B$1:$M$1,MONTH('Объемы реализации'!K$3),Сезонность!$B$3:$M$3),0)</f>
        <v>105000</v>
      </c>
      <c r="L14" s="57">
        <f>ROUND(Допущения!$C14*'Объемы реализации'!L$7*SUMIF(Сезонность!$B$1:$M$1,MONTH('Объемы реализации'!L$3),Сезонность!$B$3:$M$3),0)</f>
        <v>105000</v>
      </c>
      <c r="M14" s="57">
        <f>ROUND(Допущения!$C14*'Объемы реализации'!M$7*SUMIF(Сезонность!$B$1:$M$1,MONTH('Объемы реализации'!M$3),Сезонность!$B$3:$M$3),0)</f>
        <v>105000</v>
      </c>
      <c r="N14" s="57">
        <f>ROUND(Допущения!$C14*'Объемы реализации'!N$7*SUMIF(Сезонность!$B$1:$M$1,MONTH('Объемы реализации'!N$3),Сезонность!$B$3:$M$3),0)</f>
        <v>105000</v>
      </c>
      <c r="O14" s="57">
        <f>ROUND(Допущения!$C14*'Объемы реализации'!O$7*SUMIF(Сезонность!$B$1:$M$1,MONTH('Объемы реализации'!O$3),Сезонность!$B$3:$M$3),0)</f>
        <v>105000</v>
      </c>
      <c r="P14" s="57">
        <f>ROUND(Допущения!$C14*'Объемы реализации'!P$7*SUMIF(Сезонность!$B$1:$M$1,MONTH('Объемы реализации'!P$3),Сезонность!$B$3:$M$3),0)</f>
        <v>105000</v>
      </c>
      <c r="Q14" s="57">
        <f>ROUND(Допущения!$C14*'Объемы реализации'!Q$7*SUMIF(Сезонность!$B$1:$M$1,MONTH('Объемы реализации'!Q$3),Сезонность!$B$3:$M$3),0)</f>
        <v>105000</v>
      </c>
      <c r="R14" s="57">
        <f>ROUND(Допущения!$C14*'Объемы реализации'!R$7*SUMIF(Сезонность!$B$1:$M$1,MONTH('Объемы реализации'!R$3),Сезонность!$B$3:$M$3),0)</f>
        <v>105000</v>
      </c>
      <c r="S14" s="57">
        <f>ROUND(Допущения!$C14*'Объемы реализации'!S$7*SUMIF(Сезонность!$B$1:$M$1,MONTH('Объемы реализации'!S$3),Сезонность!$B$3:$M$3),0)</f>
        <v>105000</v>
      </c>
      <c r="T14" s="57">
        <f>ROUND(Допущения!$C14*'Объемы реализации'!T$7*SUMIF(Сезонность!$B$1:$M$1,MONTH('Объемы реализации'!T$3),Сезонность!$B$3:$M$3),0)</f>
        <v>105000</v>
      </c>
      <c r="U14" s="57">
        <f>ROUND(Допущения!$C14*'Объемы реализации'!U$7*SUMIF(Сезонность!$B$1:$M$1,MONTH('Объемы реализации'!U$3),Сезонность!$B$3:$M$3),0)</f>
        <v>105000</v>
      </c>
      <c r="V14" s="57">
        <f>ROUND(Допущения!$C14*'Объемы реализации'!V$7*SUMIF(Сезонность!$B$1:$M$1,MONTH('Объемы реализации'!V$3),Сезонность!$B$3:$M$3),0)</f>
        <v>105000</v>
      </c>
      <c r="W14" s="57">
        <f>ROUND(Допущения!$C14*'Объемы реализации'!W$7*SUMIF(Сезонность!$B$1:$M$1,MONTH('Объемы реализации'!W$3),Сезонность!$B$3:$M$3),0)</f>
        <v>105000</v>
      </c>
      <c r="X14" s="57">
        <f>ROUND(Допущения!$C14*'Объемы реализации'!X$7*SUMIF(Сезонность!$B$1:$M$1,MONTH('Объемы реализации'!X$3),Сезонность!$B$3:$M$3),0)</f>
        <v>105000</v>
      </c>
      <c r="Y14" s="57">
        <f>ROUND(Допущения!$C14*'Объемы реализации'!Y$7*SUMIF(Сезонность!$B$1:$M$1,MONTH('Объемы реализации'!Y$3),Сезонность!$B$3:$M$3),0)</f>
        <v>105000</v>
      </c>
      <c r="Z14" s="57">
        <f>ROUND(Допущения!$C14*'Объемы реализации'!Z$7*SUMIF(Сезонность!$B$1:$M$1,MONTH('Объемы реализации'!Z$3),Сезонность!$B$3:$M$3),0)</f>
        <v>105000</v>
      </c>
      <c r="AA14" s="57">
        <f>ROUND(Допущения!$C14*'Объемы реализации'!AA$7*SUMIF(Сезонность!$B$1:$M$1,MONTH('Объемы реализации'!AA$3),Сезонность!$B$3:$M$3),0)</f>
        <v>105000</v>
      </c>
      <c r="AB14" s="57">
        <f>ROUND(Допущения!$C14*'Объемы реализации'!AB$7*SUMIF(Сезонность!$B$1:$M$1,MONTH('Объемы реализации'!AB$3),Сезонность!$B$3:$M$3),0)</f>
        <v>105000</v>
      </c>
      <c r="AC14" s="57">
        <f>ROUND(Допущения!$C14*'Объемы реализации'!AC$7*SUMIF(Сезонность!$B$1:$M$1,MONTH('Объемы реализации'!AC$3),Сезонность!$B$3:$M$3),0)</f>
        <v>105000</v>
      </c>
      <c r="AD14" s="57">
        <f>ROUND(Допущения!$C14*'Объемы реализации'!AD$7*SUMIF(Сезонность!$B$1:$M$1,MONTH('Объемы реализации'!AD$3),Сезонность!$B$3:$M$3),0)</f>
        <v>105000</v>
      </c>
      <c r="AE14" s="57">
        <f>ROUND(Допущения!$C14*'Объемы реализации'!AE$7*SUMIF(Сезонность!$B$1:$M$1,MONTH('Объемы реализации'!AE$3),Сезонность!$B$3:$M$3),0)</f>
        <v>105000</v>
      </c>
      <c r="AF14" s="57">
        <f>ROUND(Допущения!$C14*'Объемы реализации'!AF$7*SUMIF(Сезонность!$B$1:$M$1,MONTH('Объемы реализации'!AF$3),Сезонность!$B$3:$M$3),0)</f>
        <v>105000</v>
      </c>
      <c r="AG14" s="57">
        <f>ROUND(Допущения!$C14*'Объемы реализации'!AG$7*SUMIF(Сезонность!$B$1:$M$1,MONTH('Объемы реализации'!AG$3),Сезонность!$B$3:$M$3),0)</f>
        <v>105000</v>
      </c>
      <c r="AH14" s="57">
        <f>ROUND(Допущения!$C14*'Объемы реализации'!AH$7*SUMIF(Сезонность!$B$1:$M$1,MONTH('Объемы реализации'!AH$3),Сезонность!$B$3:$M$3),0)</f>
        <v>105000</v>
      </c>
      <c r="AI14" s="57">
        <f>ROUND(Допущения!$C14*'Объемы реализации'!AI$7*SUMIF(Сезонность!$B$1:$M$1,MONTH('Объемы реализации'!AI$3),Сезонность!$B$3:$M$3),0)</f>
        <v>105000</v>
      </c>
      <c r="AJ14" s="57">
        <f>ROUND(Допущения!$C14*'Объемы реализации'!AJ$7*SUMIF(Сезонность!$B$1:$M$1,MONTH('Объемы реализации'!AJ$3),Сезонность!$B$3:$M$3),0)</f>
        <v>105000</v>
      </c>
      <c r="AK14" s="57">
        <f>ROUND(Допущения!$C14*'Объемы реализации'!AK$7*SUMIF(Сезонность!$B$1:$M$1,MONTH('Объемы реализации'!AK$3),Сезонность!$B$3:$M$3),0)</f>
        <v>105000</v>
      </c>
      <c r="AL14" s="57">
        <f>ROUND(Допущения!$C14*'Объемы реализации'!AL$7*SUMIF(Сезонность!$B$1:$M$1,MONTH('Объемы реализации'!AL$3),Сезонность!$B$3:$M$3),0)</f>
        <v>105000</v>
      </c>
      <c r="AM14" s="57">
        <f>ROUND(Допущения!$C14*'Объемы реализации'!AM$7*SUMIF(Сезонность!$B$1:$M$1,MONTH('Объемы реализации'!AM$3),Сезонность!$B$3:$M$3),0)</f>
        <v>105000</v>
      </c>
      <c r="AN14" s="57">
        <f>ROUND(Допущения!$C14*'Объемы реализации'!AN$7*SUMIF(Сезонность!$B$1:$M$1,MONTH('Объемы реализации'!AN$3),Сезонность!$B$3:$M$3),0)</f>
        <v>105000</v>
      </c>
      <c r="AO14" s="57">
        <f>ROUND(Допущения!$C14*'Объемы реализации'!AO$7*SUMIF(Сезонность!$B$1:$M$1,MONTH('Объемы реализации'!AO$3),Сезонность!$B$3:$M$3),0)</f>
        <v>105000</v>
      </c>
      <c r="AP14" s="57">
        <f>ROUND(Допущения!$C14*'Объемы реализации'!AP$7*SUMIF(Сезонность!$B$1:$M$1,MONTH('Объемы реализации'!AP$3),Сезонность!$B$3:$M$3),0)</f>
        <v>105000</v>
      </c>
      <c r="AQ14" s="57">
        <f>ROUND(Допущения!$C14*'Объемы реализации'!AQ$7*SUMIF(Сезонность!$B$1:$M$1,MONTH('Объемы реализации'!AQ$3),Сезонность!$B$3:$M$3),0)</f>
        <v>105000</v>
      </c>
      <c r="AR14" s="57">
        <f>ROUND(Допущения!$C14*'Объемы реализации'!AR$7*SUMIF(Сезонность!$B$1:$M$1,MONTH('Объемы реализации'!AR$3),Сезонность!$B$3:$M$3),0)</f>
        <v>105000</v>
      </c>
      <c r="AS14" s="57">
        <f>ROUND(Допущения!$C14*'Объемы реализации'!AS$7*SUMIF(Сезонность!$B$1:$M$1,MONTH('Объемы реализации'!AS$3),Сезонность!$B$3:$M$3),0)</f>
        <v>105000</v>
      </c>
      <c r="AT14" s="57">
        <f>ROUND(Допущения!$C14*'Объемы реализации'!AT$7*SUMIF(Сезонность!$B$1:$M$1,MONTH('Объемы реализации'!AT$3),Сезонность!$B$3:$M$3),0)</f>
        <v>105000</v>
      </c>
      <c r="AU14" s="57">
        <f>ROUND(Допущения!$C14*'Объемы реализации'!AU$7*SUMIF(Сезонность!$B$1:$M$1,MONTH('Объемы реализации'!AU$3),Сезонность!$B$3:$M$3),0)</f>
        <v>105000</v>
      </c>
      <c r="AV14" s="57">
        <f>ROUND(Допущения!$C14*'Объемы реализации'!AV$7*SUMIF(Сезонность!$B$1:$M$1,MONTH('Объемы реализации'!AV$3),Сезонность!$B$3:$M$3),0)</f>
        <v>105000</v>
      </c>
      <c r="AW14" s="57">
        <f>ROUND(Допущения!$C14*'Объемы реализации'!AW$7*SUMIF(Сезонность!$B$1:$M$1,MONTH('Объемы реализации'!AW$3),Сезонность!$B$3:$M$3),0)</f>
        <v>105000</v>
      </c>
      <c r="AX14" s="57">
        <f>ROUND(Допущения!$C14*'Объемы реализации'!AX$7*SUMIF(Сезонность!$B$1:$M$1,MONTH('Объемы реализации'!AX$3),Сезонность!$B$3:$M$3),0)</f>
        <v>105000</v>
      </c>
      <c r="AY14" s="57">
        <f>ROUND(Допущения!$C14*'Объемы реализации'!AY$7*SUMIF(Сезонность!$B$1:$M$1,MONTH('Объемы реализации'!AY$3),Сезонность!$B$3:$M$3),0)</f>
        <v>105000</v>
      </c>
      <c r="AZ14" s="57">
        <f>ROUND(Допущения!$C14*'Объемы реализации'!AZ$7*SUMIF(Сезонность!$B$1:$M$1,MONTH('Объемы реализации'!AZ$3),Сезонность!$B$3:$M$3),0)</f>
        <v>105000</v>
      </c>
      <c r="BA14" s="57">
        <f>ROUND(Допущения!$C14*'Объемы реализации'!BA$7*SUMIF(Сезонность!$B$1:$M$1,MONTH('Объемы реализации'!BA$3),Сезонность!$B$3:$M$3),0)</f>
        <v>105000</v>
      </c>
      <c r="BB14" s="57">
        <f>ROUND(Допущения!$C14*'Объемы реализации'!BB$7*SUMIF(Сезонность!$B$1:$M$1,MONTH('Объемы реализации'!BB$3),Сезонность!$B$3:$M$3),0)</f>
        <v>105000</v>
      </c>
      <c r="BC14" s="57">
        <f>ROUND(Допущения!$C14*'Объемы реализации'!BC$7*SUMIF(Сезонность!$B$1:$M$1,MONTH('Объемы реализации'!BC$3),Сезонность!$B$3:$M$3),0)</f>
        <v>105000</v>
      </c>
      <c r="BD14" s="57">
        <f>ROUND(Допущения!$C14*'Объемы реализации'!BD$7*SUMIF(Сезонность!$B$1:$M$1,MONTH('Объемы реализации'!BD$3),Сезонность!$B$3:$M$3),0)</f>
        <v>105000</v>
      </c>
      <c r="BE14" s="57">
        <f>ROUND(Допущения!$C14*'Объемы реализации'!BE$7*SUMIF(Сезонность!$B$1:$M$1,MONTH('Объемы реализации'!BE$3),Сезонность!$B$3:$M$3),0)</f>
        <v>105000</v>
      </c>
      <c r="BF14" s="57">
        <f>ROUND(Допущения!$C14*'Объемы реализации'!BF$7*SUMIF(Сезонность!$B$1:$M$1,MONTH('Объемы реализации'!BF$3),Сезонность!$B$3:$M$3),0)</f>
        <v>105000</v>
      </c>
      <c r="BG14" s="57">
        <f>ROUND(Допущения!$C14*'Объемы реализации'!BG$7*SUMIF(Сезонность!$B$1:$M$1,MONTH('Объемы реализации'!BG$3),Сезонность!$B$3:$M$3),0)</f>
        <v>105000</v>
      </c>
      <c r="BH14" s="57">
        <f>ROUND(Допущения!$C14*'Объемы реализации'!BH$7*SUMIF(Сезонность!$B$1:$M$1,MONTH('Объемы реализации'!BH$3),Сезонность!$B$3:$M$3),0)</f>
        <v>105000</v>
      </c>
      <c r="BI14" s="57">
        <f>ROUND(Допущения!$C14*'Объемы реализации'!BI$7*SUMIF(Сезонность!$B$1:$M$1,MONTH('Объемы реализации'!BI$3),Сезонность!$B$3:$M$3),0)</f>
        <v>105000</v>
      </c>
      <c r="BJ14" s="57">
        <f>ROUND(Допущения!$C14*'Объемы реализации'!BJ$7*SUMIF(Сезонность!$B$1:$M$1,MONTH('Объемы реализации'!BJ$3),Сезонность!$B$3:$M$3),0)</f>
        <v>105000</v>
      </c>
      <c r="BL14" s="57">
        <f t="shared" si="16"/>
        <v>21000</v>
      </c>
      <c r="BM14" s="57">
        <f t="shared" si="16"/>
        <v>1134000</v>
      </c>
      <c r="BN14" s="57">
        <f t="shared" si="16"/>
        <v>1260000</v>
      </c>
      <c r="BO14" s="57">
        <f t="shared" si="16"/>
        <v>1260000</v>
      </c>
      <c r="BP14" s="57">
        <f t="shared" si="16"/>
        <v>1260000</v>
      </c>
      <c r="BQ14" s="57">
        <f t="shared" si="16"/>
        <v>840000</v>
      </c>
    </row>
    <row r="15" spans="1:116">
      <c r="A15" s="232" t="str">
        <f>Допущения!A15</f>
        <v>Пельмени</v>
      </c>
      <c r="B15" s="233" t="str">
        <f>Допущения!B15</f>
        <v>кг/мес.</v>
      </c>
      <c r="C15" s="57">
        <f>ROUND(Допущения!$C15*'Объемы реализации'!C$7*SUMIF(Сезонность!$B$1:$M$1,MONTH('Объемы реализации'!C$3),Сезонность!$B$3:$M$3),0)</f>
        <v>0</v>
      </c>
      <c r="D15" s="57">
        <f>ROUND(Допущения!$C15*'Объемы реализации'!D$7*SUMIF(Сезонность!$B$1:$M$1,MONTH('Объемы реализации'!D$3),Сезонность!$B$3:$M$3),0)</f>
        <v>0</v>
      </c>
      <c r="E15" s="57">
        <f>ROUND(Допущения!$C15*'Объемы реализации'!E$7*SUMIF(Сезонность!$B$1:$M$1,MONTH('Объемы реализации'!E$3),Сезонность!$B$3:$M$3),0)</f>
        <v>0</v>
      </c>
      <c r="F15" s="57">
        <f>ROUND(Допущения!$C15*'Объемы реализации'!F$7*SUMIF(Сезонность!$B$1:$M$1,MONTH('Объемы реализации'!F$3),Сезонность!$B$3:$M$3),0)</f>
        <v>20000</v>
      </c>
      <c r="G15" s="57">
        <f>ROUND(Допущения!$C15*'Объемы реализации'!G$7*SUMIF(Сезонность!$B$1:$M$1,MONTH('Объемы реализации'!G$3),Сезонность!$B$3:$M$3),0)</f>
        <v>40000</v>
      </c>
      <c r="H15" s="57">
        <f>ROUND(Допущения!$C15*'Объемы реализации'!H$7*SUMIF(Сезонность!$B$1:$M$1,MONTH('Объемы реализации'!H$3),Сезонность!$B$3:$M$3),0)</f>
        <v>60000</v>
      </c>
      <c r="I15" s="57">
        <f>ROUND(Допущения!$C15*'Объемы реализации'!I$7*SUMIF(Сезонность!$B$1:$M$1,MONTH('Объемы реализации'!I$3),Сезонность!$B$3:$M$3),0)</f>
        <v>80000</v>
      </c>
      <c r="J15" s="57">
        <f>ROUND(Допущения!$C15*'Объемы реализации'!J$7*SUMIF(Сезонность!$B$1:$M$1,MONTH('Объемы реализации'!J$3),Сезонность!$B$3:$M$3),0)</f>
        <v>100000</v>
      </c>
      <c r="K15" s="57">
        <f>ROUND(Допущения!$C15*'Объемы реализации'!K$7*SUMIF(Сезонность!$B$1:$M$1,MONTH('Объемы реализации'!K$3),Сезонность!$B$3:$M$3),0)</f>
        <v>100000</v>
      </c>
      <c r="L15" s="57">
        <f>ROUND(Допущения!$C15*'Объемы реализации'!L$7*SUMIF(Сезонность!$B$1:$M$1,MONTH('Объемы реализации'!L$3),Сезонность!$B$3:$M$3),0)</f>
        <v>100000</v>
      </c>
      <c r="M15" s="57">
        <f>ROUND(Допущения!$C15*'Объемы реализации'!M$7*SUMIF(Сезонность!$B$1:$M$1,MONTH('Объемы реализации'!M$3),Сезонность!$B$3:$M$3),0)</f>
        <v>100000</v>
      </c>
      <c r="N15" s="57">
        <f>ROUND(Допущения!$C15*'Объемы реализации'!N$7*SUMIF(Сезонность!$B$1:$M$1,MONTH('Объемы реализации'!N$3),Сезонность!$B$3:$M$3),0)</f>
        <v>100000</v>
      </c>
      <c r="O15" s="57">
        <f>ROUND(Допущения!$C15*'Объемы реализации'!O$7*SUMIF(Сезонность!$B$1:$M$1,MONTH('Объемы реализации'!O$3),Сезонность!$B$3:$M$3),0)</f>
        <v>100000</v>
      </c>
      <c r="P15" s="57">
        <f>ROUND(Допущения!$C15*'Объемы реализации'!P$7*SUMIF(Сезонность!$B$1:$M$1,MONTH('Объемы реализации'!P$3),Сезонность!$B$3:$M$3),0)</f>
        <v>100000</v>
      </c>
      <c r="Q15" s="57">
        <f>ROUND(Допущения!$C15*'Объемы реализации'!Q$7*SUMIF(Сезонность!$B$1:$M$1,MONTH('Объемы реализации'!Q$3),Сезонность!$B$3:$M$3),0)</f>
        <v>100000</v>
      </c>
      <c r="R15" s="57">
        <f>ROUND(Допущения!$C15*'Объемы реализации'!R$7*SUMIF(Сезонность!$B$1:$M$1,MONTH('Объемы реализации'!R$3),Сезонность!$B$3:$M$3),0)</f>
        <v>100000</v>
      </c>
      <c r="S15" s="57">
        <f>ROUND(Допущения!$C15*'Объемы реализации'!S$7*SUMIF(Сезонность!$B$1:$M$1,MONTH('Объемы реализации'!S$3),Сезонность!$B$3:$M$3),0)</f>
        <v>100000</v>
      </c>
      <c r="T15" s="57">
        <f>ROUND(Допущения!$C15*'Объемы реализации'!T$7*SUMIF(Сезонность!$B$1:$M$1,MONTH('Объемы реализации'!T$3),Сезонность!$B$3:$M$3),0)</f>
        <v>100000</v>
      </c>
      <c r="U15" s="57">
        <f>ROUND(Допущения!$C15*'Объемы реализации'!U$7*SUMIF(Сезонность!$B$1:$M$1,MONTH('Объемы реализации'!U$3),Сезонность!$B$3:$M$3),0)</f>
        <v>100000</v>
      </c>
      <c r="V15" s="57">
        <f>ROUND(Допущения!$C15*'Объемы реализации'!V$7*SUMIF(Сезонность!$B$1:$M$1,MONTH('Объемы реализации'!V$3),Сезонность!$B$3:$M$3),0)</f>
        <v>100000</v>
      </c>
      <c r="W15" s="57">
        <f>ROUND(Допущения!$C15*'Объемы реализации'!W$7*SUMIF(Сезонность!$B$1:$M$1,MONTH('Объемы реализации'!W$3),Сезонность!$B$3:$M$3),0)</f>
        <v>100000</v>
      </c>
      <c r="X15" s="57">
        <f>ROUND(Допущения!$C15*'Объемы реализации'!X$7*SUMIF(Сезонность!$B$1:$M$1,MONTH('Объемы реализации'!X$3),Сезонность!$B$3:$M$3),0)</f>
        <v>100000</v>
      </c>
      <c r="Y15" s="57">
        <f>ROUND(Допущения!$C15*'Объемы реализации'!Y$7*SUMIF(Сезонность!$B$1:$M$1,MONTH('Объемы реализации'!Y$3),Сезонность!$B$3:$M$3),0)</f>
        <v>100000</v>
      </c>
      <c r="Z15" s="57">
        <f>ROUND(Допущения!$C15*'Объемы реализации'!Z$7*SUMIF(Сезонность!$B$1:$M$1,MONTH('Объемы реализации'!Z$3),Сезонность!$B$3:$M$3),0)</f>
        <v>100000</v>
      </c>
      <c r="AA15" s="57">
        <f>ROUND(Допущения!$C15*'Объемы реализации'!AA$7*SUMIF(Сезонность!$B$1:$M$1,MONTH('Объемы реализации'!AA$3),Сезонность!$B$3:$M$3),0)</f>
        <v>100000</v>
      </c>
      <c r="AB15" s="57">
        <f>ROUND(Допущения!$C15*'Объемы реализации'!AB$7*SUMIF(Сезонность!$B$1:$M$1,MONTH('Объемы реализации'!AB$3),Сезонность!$B$3:$M$3),0)</f>
        <v>100000</v>
      </c>
      <c r="AC15" s="57">
        <f>ROUND(Допущения!$C15*'Объемы реализации'!AC$7*SUMIF(Сезонность!$B$1:$M$1,MONTH('Объемы реализации'!AC$3),Сезонность!$B$3:$M$3),0)</f>
        <v>100000</v>
      </c>
      <c r="AD15" s="57">
        <f>ROUND(Допущения!$C15*'Объемы реализации'!AD$7*SUMIF(Сезонность!$B$1:$M$1,MONTH('Объемы реализации'!AD$3),Сезонность!$B$3:$M$3),0)</f>
        <v>100000</v>
      </c>
      <c r="AE15" s="57">
        <f>ROUND(Допущения!$C15*'Объемы реализации'!AE$7*SUMIF(Сезонность!$B$1:$M$1,MONTH('Объемы реализации'!AE$3),Сезонность!$B$3:$M$3),0)</f>
        <v>100000</v>
      </c>
      <c r="AF15" s="57">
        <f>ROUND(Допущения!$C15*'Объемы реализации'!AF$7*SUMIF(Сезонность!$B$1:$M$1,MONTH('Объемы реализации'!AF$3),Сезонность!$B$3:$M$3),0)</f>
        <v>100000</v>
      </c>
      <c r="AG15" s="57">
        <f>ROUND(Допущения!$C15*'Объемы реализации'!AG$7*SUMIF(Сезонность!$B$1:$M$1,MONTH('Объемы реализации'!AG$3),Сезонность!$B$3:$M$3),0)</f>
        <v>100000</v>
      </c>
      <c r="AH15" s="57">
        <f>ROUND(Допущения!$C15*'Объемы реализации'!AH$7*SUMIF(Сезонность!$B$1:$M$1,MONTH('Объемы реализации'!AH$3),Сезонность!$B$3:$M$3),0)</f>
        <v>100000</v>
      </c>
      <c r="AI15" s="57">
        <f>ROUND(Допущения!$C15*'Объемы реализации'!AI$7*SUMIF(Сезонность!$B$1:$M$1,MONTH('Объемы реализации'!AI$3),Сезонность!$B$3:$M$3),0)</f>
        <v>100000</v>
      </c>
      <c r="AJ15" s="57">
        <f>ROUND(Допущения!$C15*'Объемы реализации'!AJ$7*SUMIF(Сезонность!$B$1:$M$1,MONTH('Объемы реализации'!AJ$3),Сезонность!$B$3:$M$3),0)</f>
        <v>100000</v>
      </c>
      <c r="AK15" s="57">
        <f>ROUND(Допущения!$C15*'Объемы реализации'!AK$7*SUMIF(Сезонность!$B$1:$M$1,MONTH('Объемы реализации'!AK$3),Сезонность!$B$3:$M$3),0)</f>
        <v>100000</v>
      </c>
      <c r="AL15" s="57">
        <f>ROUND(Допущения!$C15*'Объемы реализации'!AL$7*SUMIF(Сезонность!$B$1:$M$1,MONTH('Объемы реализации'!AL$3),Сезонность!$B$3:$M$3),0)</f>
        <v>100000</v>
      </c>
      <c r="AM15" s="57">
        <f>ROUND(Допущения!$C15*'Объемы реализации'!AM$7*SUMIF(Сезонность!$B$1:$M$1,MONTH('Объемы реализации'!AM$3),Сезонность!$B$3:$M$3),0)</f>
        <v>100000</v>
      </c>
      <c r="AN15" s="57">
        <f>ROUND(Допущения!$C15*'Объемы реализации'!AN$7*SUMIF(Сезонность!$B$1:$M$1,MONTH('Объемы реализации'!AN$3),Сезонность!$B$3:$M$3),0)</f>
        <v>100000</v>
      </c>
      <c r="AO15" s="57">
        <f>ROUND(Допущения!$C15*'Объемы реализации'!AO$7*SUMIF(Сезонность!$B$1:$M$1,MONTH('Объемы реализации'!AO$3),Сезонность!$B$3:$M$3),0)</f>
        <v>100000</v>
      </c>
      <c r="AP15" s="57">
        <f>ROUND(Допущения!$C15*'Объемы реализации'!AP$7*SUMIF(Сезонность!$B$1:$M$1,MONTH('Объемы реализации'!AP$3),Сезонность!$B$3:$M$3),0)</f>
        <v>100000</v>
      </c>
      <c r="AQ15" s="57">
        <f>ROUND(Допущения!$C15*'Объемы реализации'!AQ$7*SUMIF(Сезонность!$B$1:$M$1,MONTH('Объемы реализации'!AQ$3),Сезонность!$B$3:$M$3),0)</f>
        <v>100000</v>
      </c>
      <c r="AR15" s="57">
        <f>ROUND(Допущения!$C15*'Объемы реализации'!AR$7*SUMIF(Сезонность!$B$1:$M$1,MONTH('Объемы реализации'!AR$3),Сезонность!$B$3:$M$3),0)</f>
        <v>100000</v>
      </c>
      <c r="AS15" s="57">
        <f>ROUND(Допущения!$C15*'Объемы реализации'!AS$7*SUMIF(Сезонность!$B$1:$M$1,MONTH('Объемы реализации'!AS$3),Сезонность!$B$3:$M$3),0)</f>
        <v>100000</v>
      </c>
      <c r="AT15" s="57">
        <f>ROUND(Допущения!$C15*'Объемы реализации'!AT$7*SUMIF(Сезонность!$B$1:$M$1,MONTH('Объемы реализации'!AT$3),Сезонность!$B$3:$M$3),0)</f>
        <v>100000</v>
      </c>
      <c r="AU15" s="57">
        <f>ROUND(Допущения!$C15*'Объемы реализации'!AU$7*SUMIF(Сезонность!$B$1:$M$1,MONTH('Объемы реализации'!AU$3),Сезонность!$B$3:$M$3),0)</f>
        <v>100000</v>
      </c>
      <c r="AV15" s="57">
        <f>ROUND(Допущения!$C15*'Объемы реализации'!AV$7*SUMIF(Сезонность!$B$1:$M$1,MONTH('Объемы реализации'!AV$3),Сезонность!$B$3:$M$3),0)</f>
        <v>100000</v>
      </c>
      <c r="AW15" s="57">
        <f>ROUND(Допущения!$C15*'Объемы реализации'!AW$7*SUMIF(Сезонность!$B$1:$M$1,MONTH('Объемы реализации'!AW$3),Сезонность!$B$3:$M$3),0)</f>
        <v>100000</v>
      </c>
      <c r="AX15" s="57">
        <f>ROUND(Допущения!$C15*'Объемы реализации'!AX$7*SUMIF(Сезонность!$B$1:$M$1,MONTH('Объемы реализации'!AX$3),Сезонность!$B$3:$M$3),0)</f>
        <v>100000</v>
      </c>
      <c r="AY15" s="57">
        <f>ROUND(Допущения!$C15*'Объемы реализации'!AY$7*SUMIF(Сезонность!$B$1:$M$1,MONTH('Объемы реализации'!AY$3),Сезонность!$B$3:$M$3),0)</f>
        <v>100000</v>
      </c>
      <c r="AZ15" s="57">
        <f>ROUND(Допущения!$C15*'Объемы реализации'!AZ$7*SUMIF(Сезонность!$B$1:$M$1,MONTH('Объемы реализации'!AZ$3),Сезонность!$B$3:$M$3),0)</f>
        <v>100000</v>
      </c>
      <c r="BA15" s="57">
        <f>ROUND(Допущения!$C15*'Объемы реализации'!BA$7*SUMIF(Сезонность!$B$1:$M$1,MONTH('Объемы реализации'!BA$3),Сезонность!$B$3:$M$3),0)</f>
        <v>100000</v>
      </c>
      <c r="BB15" s="57">
        <f>ROUND(Допущения!$C15*'Объемы реализации'!BB$7*SUMIF(Сезонность!$B$1:$M$1,MONTH('Объемы реализации'!BB$3),Сезонность!$B$3:$M$3),0)</f>
        <v>100000</v>
      </c>
      <c r="BC15" s="57">
        <f>ROUND(Допущения!$C15*'Объемы реализации'!BC$7*SUMIF(Сезонность!$B$1:$M$1,MONTH('Объемы реализации'!BC$3),Сезонность!$B$3:$M$3),0)</f>
        <v>100000</v>
      </c>
      <c r="BD15" s="57">
        <f>ROUND(Допущения!$C15*'Объемы реализации'!BD$7*SUMIF(Сезонность!$B$1:$M$1,MONTH('Объемы реализации'!BD$3),Сезонность!$B$3:$M$3),0)</f>
        <v>100000</v>
      </c>
      <c r="BE15" s="57">
        <f>ROUND(Допущения!$C15*'Объемы реализации'!BE$7*SUMIF(Сезонность!$B$1:$M$1,MONTH('Объемы реализации'!BE$3),Сезонность!$B$3:$M$3),0)</f>
        <v>100000</v>
      </c>
      <c r="BF15" s="57">
        <f>ROUND(Допущения!$C15*'Объемы реализации'!BF$7*SUMIF(Сезонность!$B$1:$M$1,MONTH('Объемы реализации'!BF$3),Сезонность!$B$3:$M$3),0)</f>
        <v>100000</v>
      </c>
      <c r="BG15" s="57">
        <f>ROUND(Допущения!$C15*'Объемы реализации'!BG$7*SUMIF(Сезонность!$B$1:$M$1,MONTH('Объемы реализации'!BG$3),Сезонность!$B$3:$M$3),0)</f>
        <v>100000</v>
      </c>
      <c r="BH15" s="57">
        <f>ROUND(Допущения!$C15*'Объемы реализации'!BH$7*SUMIF(Сезонность!$B$1:$M$1,MONTH('Объемы реализации'!BH$3),Сезонность!$B$3:$M$3),0)</f>
        <v>100000</v>
      </c>
      <c r="BI15" s="57">
        <f>ROUND(Допущения!$C15*'Объемы реализации'!BI$7*SUMIF(Сезонность!$B$1:$M$1,MONTH('Объемы реализации'!BI$3),Сезонность!$B$3:$M$3),0)</f>
        <v>100000</v>
      </c>
      <c r="BJ15" s="57">
        <f>ROUND(Допущения!$C15*'Объемы реализации'!BJ$7*SUMIF(Сезонность!$B$1:$M$1,MONTH('Объемы реализации'!BJ$3),Сезонность!$B$3:$M$3),0)</f>
        <v>100000</v>
      </c>
      <c r="BL15" s="57">
        <f t="shared" si="16"/>
        <v>20000</v>
      </c>
      <c r="BM15" s="57">
        <f t="shared" si="16"/>
        <v>1080000</v>
      </c>
      <c r="BN15" s="57">
        <f t="shared" si="16"/>
        <v>1200000</v>
      </c>
      <c r="BO15" s="57">
        <f t="shared" si="16"/>
        <v>1200000</v>
      </c>
      <c r="BP15" s="57">
        <f t="shared" si="16"/>
        <v>1200000</v>
      </c>
      <c r="BQ15" s="57">
        <f t="shared" si="16"/>
        <v>800000</v>
      </c>
    </row>
    <row r="16" spans="1:116">
      <c r="A16" s="232" t="str">
        <f>Допущения!A16</f>
        <v>-</v>
      </c>
      <c r="B16" s="233" t="str">
        <f>Допущения!B16</f>
        <v>кг/мес.</v>
      </c>
      <c r="C16" s="57">
        <f>ROUND(Допущения!$C16*'Объемы реализации'!C$7*SUMIF(Сезонность!$B$1:$M$1,MONTH('Объемы реализации'!C$3),Сезонность!$B$3:$M$3),0)</f>
        <v>0</v>
      </c>
      <c r="D16" s="57">
        <f>ROUND(Допущения!$C16*'Объемы реализации'!D$7*SUMIF(Сезонность!$B$1:$M$1,MONTH('Объемы реализации'!D$3),Сезонность!$B$3:$M$3),0)</f>
        <v>0</v>
      </c>
      <c r="E16" s="57">
        <f>ROUND(Допущения!$C16*'Объемы реализации'!E$7*SUMIF(Сезонность!$B$1:$M$1,MONTH('Объемы реализации'!E$3),Сезонность!$B$3:$M$3),0)</f>
        <v>0</v>
      </c>
      <c r="F16" s="57">
        <f>ROUND(Допущения!$C16*'Объемы реализации'!F$7*SUMIF(Сезонность!$B$1:$M$1,MONTH('Объемы реализации'!F$3),Сезонность!$B$3:$M$3),0)</f>
        <v>0</v>
      </c>
      <c r="G16" s="57">
        <f>ROUND(Допущения!$C16*'Объемы реализации'!G$7*SUMIF(Сезонность!$B$1:$M$1,MONTH('Объемы реализации'!G$3),Сезонность!$B$3:$M$3),0)</f>
        <v>0</v>
      </c>
      <c r="H16" s="57">
        <f>ROUND(Допущения!$C16*'Объемы реализации'!H$7*SUMIF(Сезонность!$B$1:$M$1,MONTH('Объемы реализации'!H$3),Сезонность!$B$3:$M$3),0)</f>
        <v>0</v>
      </c>
      <c r="I16" s="57">
        <f>ROUND(Допущения!$C16*'Объемы реализации'!I$7*SUMIF(Сезонность!$B$1:$M$1,MONTH('Объемы реализации'!I$3),Сезонность!$B$3:$M$3),0)</f>
        <v>0</v>
      </c>
      <c r="J16" s="57">
        <f>ROUND(Допущения!$C16*'Объемы реализации'!J$7*SUMIF(Сезонность!$B$1:$M$1,MONTH('Объемы реализации'!J$3),Сезонность!$B$3:$M$3),0)</f>
        <v>0</v>
      </c>
      <c r="K16" s="57">
        <f>ROUND(Допущения!$C16*'Объемы реализации'!K$7*SUMIF(Сезонность!$B$1:$M$1,MONTH('Объемы реализации'!K$3),Сезонность!$B$3:$M$3),0)</f>
        <v>0</v>
      </c>
      <c r="L16" s="57">
        <f>ROUND(Допущения!$C16*'Объемы реализации'!L$7*SUMIF(Сезонность!$B$1:$M$1,MONTH('Объемы реализации'!L$3),Сезонность!$B$3:$M$3),0)</f>
        <v>0</v>
      </c>
      <c r="M16" s="57">
        <f>ROUND(Допущения!$C16*'Объемы реализации'!M$7*SUMIF(Сезонность!$B$1:$M$1,MONTH('Объемы реализации'!M$3),Сезонность!$B$3:$M$3),0)</f>
        <v>0</v>
      </c>
      <c r="N16" s="57">
        <f>ROUND(Допущения!$C16*'Объемы реализации'!N$7*SUMIF(Сезонность!$B$1:$M$1,MONTH('Объемы реализации'!N$3),Сезонность!$B$3:$M$3),0)</f>
        <v>0</v>
      </c>
      <c r="O16" s="57">
        <f>ROUND(Допущения!$C16*'Объемы реализации'!O$7*SUMIF(Сезонность!$B$1:$M$1,MONTH('Объемы реализации'!O$3),Сезонность!$B$3:$M$3),0)</f>
        <v>0</v>
      </c>
      <c r="P16" s="57">
        <f>ROUND(Допущения!$C16*'Объемы реализации'!P$7*SUMIF(Сезонность!$B$1:$M$1,MONTH('Объемы реализации'!P$3),Сезонность!$B$3:$M$3),0)</f>
        <v>0</v>
      </c>
      <c r="Q16" s="57">
        <f>ROUND(Допущения!$C16*'Объемы реализации'!Q$7*SUMIF(Сезонность!$B$1:$M$1,MONTH('Объемы реализации'!Q$3),Сезонность!$B$3:$M$3),0)</f>
        <v>0</v>
      </c>
      <c r="R16" s="57">
        <f>ROUND(Допущения!$C16*'Объемы реализации'!R$7*SUMIF(Сезонность!$B$1:$M$1,MONTH('Объемы реализации'!R$3),Сезонность!$B$3:$M$3),0)</f>
        <v>0</v>
      </c>
      <c r="S16" s="57">
        <f>ROUND(Допущения!$C16*'Объемы реализации'!S$7*SUMIF(Сезонность!$B$1:$M$1,MONTH('Объемы реализации'!S$3),Сезонность!$B$3:$M$3),0)</f>
        <v>0</v>
      </c>
      <c r="T16" s="57">
        <f>ROUND(Допущения!$C16*'Объемы реализации'!T$7*SUMIF(Сезонность!$B$1:$M$1,MONTH('Объемы реализации'!T$3),Сезонность!$B$3:$M$3),0)</f>
        <v>0</v>
      </c>
      <c r="U16" s="57">
        <f>ROUND(Допущения!$C16*'Объемы реализации'!U$7*SUMIF(Сезонность!$B$1:$M$1,MONTH('Объемы реализации'!U$3),Сезонность!$B$3:$M$3),0)</f>
        <v>0</v>
      </c>
      <c r="V16" s="57">
        <f>ROUND(Допущения!$C16*'Объемы реализации'!V$7*SUMIF(Сезонность!$B$1:$M$1,MONTH('Объемы реализации'!V$3),Сезонность!$B$3:$M$3),0)</f>
        <v>0</v>
      </c>
      <c r="W16" s="57">
        <f>ROUND(Допущения!$C16*'Объемы реализации'!W$7*SUMIF(Сезонность!$B$1:$M$1,MONTH('Объемы реализации'!W$3),Сезонность!$B$3:$M$3),0)</f>
        <v>0</v>
      </c>
      <c r="X16" s="57">
        <f>ROUND(Допущения!$C16*'Объемы реализации'!X$7*SUMIF(Сезонность!$B$1:$M$1,MONTH('Объемы реализации'!X$3),Сезонность!$B$3:$M$3),0)</f>
        <v>0</v>
      </c>
      <c r="Y16" s="57">
        <f>ROUND(Допущения!$C16*'Объемы реализации'!Y$7*SUMIF(Сезонность!$B$1:$M$1,MONTH('Объемы реализации'!Y$3),Сезонность!$B$3:$M$3),0)</f>
        <v>0</v>
      </c>
      <c r="Z16" s="57">
        <f>ROUND(Допущения!$C16*'Объемы реализации'!Z$7*SUMIF(Сезонность!$B$1:$M$1,MONTH('Объемы реализации'!Z$3),Сезонность!$B$3:$M$3),0)</f>
        <v>0</v>
      </c>
      <c r="AA16" s="57">
        <f>ROUND(Допущения!$C16*'Объемы реализации'!AA$7*SUMIF(Сезонность!$B$1:$M$1,MONTH('Объемы реализации'!AA$3),Сезонность!$B$3:$M$3),0)</f>
        <v>0</v>
      </c>
      <c r="AB16" s="57">
        <f>ROUND(Допущения!$C16*'Объемы реализации'!AB$7*SUMIF(Сезонность!$B$1:$M$1,MONTH('Объемы реализации'!AB$3),Сезонность!$B$3:$M$3),0)</f>
        <v>0</v>
      </c>
      <c r="AC16" s="57">
        <f>ROUND(Допущения!$C16*'Объемы реализации'!AC$7*SUMIF(Сезонность!$B$1:$M$1,MONTH('Объемы реализации'!AC$3),Сезонность!$B$3:$M$3),0)</f>
        <v>0</v>
      </c>
      <c r="AD16" s="57">
        <f>ROUND(Допущения!$C16*'Объемы реализации'!AD$7*SUMIF(Сезонность!$B$1:$M$1,MONTH('Объемы реализации'!AD$3),Сезонность!$B$3:$M$3),0)</f>
        <v>0</v>
      </c>
      <c r="AE16" s="57">
        <f>ROUND(Допущения!$C16*'Объемы реализации'!AE$7*SUMIF(Сезонность!$B$1:$M$1,MONTH('Объемы реализации'!AE$3),Сезонность!$B$3:$M$3),0)</f>
        <v>0</v>
      </c>
      <c r="AF16" s="57">
        <f>ROUND(Допущения!$C16*'Объемы реализации'!AF$7*SUMIF(Сезонность!$B$1:$M$1,MONTH('Объемы реализации'!AF$3),Сезонность!$B$3:$M$3),0)</f>
        <v>0</v>
      </c>
      <c r="AG16" s="57">
        <f>ROUND(Допущения!$C16*'Объемы реализации'!AG$7*SUMIF(Сезонность!$B$1:$M$1,MONTH('Объемы реализации'!AG$3),Сезонность!$B$3:$M$3),0)</f>
        <v>0</v>
      </c>
      <c r="AH16" s="57">
        <f>ROUND(Допущения!$C16*'Объемы реализации'!AH$7*SUMIF(Сезонность!$B$1:$M$1,MONTH('Объемы реализации'!AH$3),Сезонность!$B$3:$M$3),0)</f>
        <v>0</v>
      </c>
      <c r="AI16" s="57">
        <f>ROUND(Допущения!$C16*'Объемы реализации'!AI$7*SUMIF(Сезонность!$B$1:$M$1,MONTH('Объемы реализации'!AI$3),Сезонность!$B$3:$M$3),0)</f>
        <v>0</v>
      </c>
      <c r="AJ16" s="57">
        <f>ROUND(Допущения!$C16*'Объемы реализации'!AJ$7*SUMIF(Сезонность!$B$1:$M$1,MONTH('Объемы реализации'!AJ$3),Сезонность!$B$3:$M$3),0)</f>
        <v>0</v>
      </c>
      <c r="AK16" s="57">
        <f>ROUND(Допущения!$C16*'Объемы реализации'!AK$7*SUMIF(Сезонность!$B$1:$M$1,MONTH('Объемы реализации'!AK$3),Сезонность!$B$3:$M$3),0)</f>
        <v>0</v>
      </c>
      <c r="AL16" s="57">
        <f>ROUND(Допущения!$C16*'Объемы реализации'!AL$7*SUMIF(Сезонность!$B$1:$M$1,MONTH('Объемы реализации'!AL$3),Сезонность!$B$3:$M$3),0)</f>
        <v>0</v>
      </c>
      <c r="AM16" s="57">
        <f>ROUND(Допущения!$C16*'Объемы реализации'!AM$7*SUMIF(Сезонность!$B$1:$M$1,MONTH('Объемы реализации'!AM$3),Сезонность!$B$3:$M$3),0)</f>
        <v>0</v>
      </c>
      <c r="AN16" s="57">
        <f>ROUND(Допущения!$C16*'Объемы реализации'!AN$7*SUMIF(Сезонность!$B$1:$M$1,MONTH('Объемы реализации'!AN$3),Сезонность!$B$3:$M$3),0)</f>
        <v>0</v>
      </c>
      <c r="AO16" s="57">
        <f>ROUND(Допущения!$C16*'Объемы реализации'!AO$7*SUMIF(Сезонность!$B$1:$M$1,MONTH('Объемы реализации'!AO$3),Сезонность!$B$3:$M$3),0)</f>
        <v>0</v>
      </c>
      <c r="AP16" s="57">
        <f>ROUND(Допущения!$C16*'Объемы реализации'!AP$7*SUMIF(Сезонность!$B$1:$M$1,MONTH('Объемы реализации'!AP$3),Сезонность!$B$3:$M$3),0)</f>
        <v>0</v>
      </c>
      <c r="AQ16" s="57">
        <f>ROUND(Допущения!$C16*'Объемы реализации'!AQ$7*SUMIF(Сезонность!$B$1:$M$1,MONTH('Объемы реализации'!AQ$3),Сезонность!$B$3:$M$3),0)</f>
        <v>0</v>
      </c>
      <c r="AR16" s="57">
        <f>ROUND(Допущения!$C16*'Объемы реализации'!AR$7*SUMIF(Сезонность!$B$1:$M$1,MONTH('Объемы реализации'!AR$3),Сезонность!$B$3:$M$3),0)</f>
        <v>0</v>
      </c>
      <c r="AS16" s="57">
        <f>ROUND(Допущения!$C16*'Объемы реализации'!AS$7*SUMIF(Сезонность!$B$1:$M$1,MONTH('Объемы реализации'!AS$3),Сезонность!$B$3:$M$3),0)</f>
        <v>0</v>
      </c>
      <c r="AT16" s="57">
        <f>ROUND(Допущения!$C16*'Объемы реализации'!AT$7*SUMIF(Сезонность!$B$1:$M$1,MONTH('Объемы реализации'!AT$3),Сезонность!$B$3:$M$3),0)</f>
        <v>0</v>
      </c>
      <c r="AU16" s="57">
        <f>ROUND(Допущения!$C16*'Объемы реализации'!AU$7*SUMIF(Сезонность!$B$1:$M$1,MONTH('Объемы реализации'!AU$3),Сезонность!$B$3:$M$3),0)</f>
        <v>0</v>
      </c>
      <c r="AV16" s="57">
        <f>ROUND(Допущения!$C16*'Объемы реализации'!AV$7*SUMIF(Сезонность!$B$1:$M$1,MONTH('Объемы реализации'!AV$3),Сезонность!$B$3:$M$3),0)</f>
        <v>0</v>
      </c>
      <c r="AW16" s="57">
        <f>ROUND(Допущения!$C16*'Объемы реализации'!AW$7*SUMIF(Сезонность!$B$1:$M$1,MONTH('Объемы реализации'!AW$3),Сезонность!$B$3:$M$3),0)</f>
        <v>0</v>
      </c>
      <c r="AX16" s="57">
        <f>ROUND(Допущения!$C16*'Объемы реализации'!AX$7*SUMIF(Сезонность!$B$1:$M$1,MONTH('Объемы реализации'!AX$3),Сезонность!$B$3:$M$3),0)</f>
        <v>0</v>
      </c>
      <c r="AY16" s="57">
        <f>ROUND(Допущения!$C16*'Объемы реализации'!AY$7*SUMIF(Сезонность!$B$1:$M$1,MONTH('Объемы реализации'!AY$3),Сезонность!$B$3:$M$3),0)</f>
        <v>0</v>
      </c>
      <c r="AZ16" s="57">
        <f>ROUND(Допущения!$C16*'Объемы реализации'!AZ$7*SUMIF(Сезонность!$B$1:$M$1,MONTH('Объемы реализации'!AZ$3),Сезонность!$B$3:$M$3),0)</f>
        <v>0</v>
      </c>
      <c r="BA16" s="57">
        <f>ROUND(Допущения!$C16*'Объемы реализации'!BA$7*SUMIF(Сезонность!$B$1:$M$1,MONTH('Объемы реализации'!BA$3),Сезонность!$B$3:$M$3),0)</f>
        <v>0</v>
      </c>
      <c r="BB16" s="57">
        <f>ROUND(Допущения!$C16*'Объемы реализации'!BB$7*SUMIF(Сезонность!$B$1:$M$1,MONTH('Объемы реализации'!BB$3),Сезонность!$B$3:$M$3),0)</f>
        <v>0</v>
      </c>
      <c r="BC16" s="57">
        <f>ROUND(Допущения!$C16*'Объемы реализации'!BC$7*SUMIF(Сезонность!$B$1:$M$1,MONTH('Объемы реализации'!BC$3),Сезонность!$B$3:$M$3),0)</f>
        <v>0</v>
      </c>
      <c r="BD16" s="57">
        <f>ROUND(Допущения!$C16*'Объемы реализации'!BD$7*SUMIF(Сезонность!$B$1:$M$1,MONTH('Объемы реализации'!BD$3),Сезонность!$B$3:$M$3),0)</f>
        <v>0</v>
      </c>
      <c r="BE16" s="57">
        <f>ROUND(Допущения!$C16*'Объемы реализации'!BE$7*SUMIF(Сезонность!$B$1:$M$1,MONTH('Объемы реализации'!BE$3),Сезонность!$B$3:$M$3),0)</f>
        <v>0</v>
      </c>
      <c r="BF16" s="57">
        <f>ROUND(Допущения!$C16*'Объемы реализации'!BF$7*SUMIF(Сезонность!$B$1:$M$1,MONTH('Объемы реализации'!BF$3),Сезонность!$B$3:$M$3),0)</f>
        <v>0</v>
      </c>
      <c r="BG16" s="57">
        <f>ROUND(Допущения!$C16*'Объемы реализации'!BG$7*SUMIF(Сезонность!$B$1:$M$1,MONTH('Объемы реализации'!BG$3),Сезонность!$B$3:$M$3),0)</f>
        <v>0</v>
      </c>
      <c r="BH16" s="57">
        <f>ROUND(Допущения!$C16*'Объемы реализации'!BH$7*SUMIF(Сезонность!$B$1:$M$1,MONTH('Объемы реализации'!BH$3),Сезонность!$B$3:$M$3),0)</f>
        <v>0</v>
      </c>
      <c r="BI16" s="57">
        <f>ROUND(Допущения!$C16*'Объемы реализации'!BI$7*SUMIF(Сезонность!$B$1:$M$1,MONTH('Объемы реализации'!BI$3),Сезонность!$B$3:$M$3),0)</f>
        <v>0</v>
      </c>
      <c r="BJ16" s="57">
        <f>ROUND(Допущения!$C16*'Объемы реализации'!BJ$7*SUMIF(Сезонность!$B$1:$M$1,MONTH('Объемы реализации'!BJ$3),Сезонность!$B$3:$M$3),0)</f>
        <v>0</v>
      </c>
      <c r="BL16" s="57">
        <f t="shared" si="16"/>
        <v>0</v>
      </c>
      <c r="BM16" s="57">
        <f t="shared" si="16"/>
        <v>0</v>
      </c>
      <c r="BN16" s="57">
        <f t="shared" si="16"/>
        <v>0</v>
      </c>
      <c r="BO16" s="57">
        <f t="shared" si="16"/>
        <v>0</v>
      </c>
      <c r="BP16" s="57">
        <f t="shared" si="16"/>
        <v>0</v>
      </c>
      <c r="BQ16" s="57">
        <f t="shared" si="16"/>
        <v>0</v>
      </c>
    </row>
    <row r="17" spans="1:69">
      <c r="A17" s="232" t="str">
        <f>Допущения!A17</f>
        <v>-</v>
      </c>
      <c r="B17" s="233" t="str">
        <f>Допущения!B17</f>
        <v>кг/мес.</v>
      </c>
      <c r="C17" s="57">
        <f>ROUND(Допущения!$C17*'Объемы реализации'!C$7*SUMIF(Сезонность!$B$1:$M$1,MONTH('Объемы реализации'!C$3),Сезонность!$B$3:$M$3),0)</f>
        <v>0</v>
      </c>
      <c r="D17" s="57">
        <f>ROUND(Допущения!$C17*'Объемы реализации'!D$7*SUMIF(Сезонность!$B$1:$M$1,MONTH('Объемы реализации'!D$3),Сезонность!$B$3:$M$3),0)</f>
        <v>0</v>
      </c>
      <c r="E17" s="57">
        <f>ROUND(Допущения!$C17*'Объемы реализации'!E$7*SUMIF(Сезонность!$B$1:$M$1,MONTH('Объемы реализации'!E$3),Сезонность!$B$3:$M$3),0)</f>
        <v>0</v>
      </c>
      <c r="F17" s="57">
        <f>ROUND(Допущения!$C17*'Объемы реализации'!F$7*SUMIF(Сезонность!$B$1:$M$1,MONTH('Объемы реализации'!F$3),Сезонность!$B$3:$M$3),0)</f>
        <v>0</v>
      </c>
      <c r="G17" s="57">
        <f>ROUND(Допущения!$C17*'Объемы реализации'!G$7*SUMIF(Сезонность!$B$1:$M$1,MONTH('Объемы реализации'!G$3),Сезонность!$B$3:$M$3),0)</f>
        <v>0</v>
      </c>
      <c r="H17" s="57">
        <f>ROUND(Допущения!$C17*'Объемы реализации'!H$7*SUMIF(Сезонность!$B$1:$M$1,MONTH('Объемы реализации'!H$3),Сезонность!$B$3:$M$3),0)</f>
        <v>0</v>
      </c>
      <c r="I17" s="57">
        <f>ROUND(Допущения!$C17*'Объемы реализации'!I$7*SUMIF(Сезонность!$B$1:$M$1,MONTH('Объемы реализации'!I$3),Сезонность!$B$3:$M$3),0)</f>
        <v>0</v>
      </c>
      <c r="J17" s="57">
        <f>ROUND(Допущения!$C17*'Объемы реализации'!J$7*SUMIF(Сезонность!$B$1:$M$1,MONTH('Объемы реализации'!J$3),Сезонность!$B$3:$M$3),0)</f>
        <v>0</v>
      </c>
      <c r="K17" s="57">
        <f>ROUND(Допущения!$C17*'Объемы реализации'!K$7*SUMIF(Сезонность!$B$1:$M$1,MONTH('Объемы реализации'!K$3),Сезонность!$B$3:$M$3),0)</f>
        <v>0</v>
      </c>
      <c r="L17" s="57">
        <f>ROUND(Допущения!$C17*'Объемы реализации'!L$7*SUMIF(Сезонность!$B$1:$M$1,MONTH('Объемы реализации'!L$3),Сезонность!$B$3:$M$3),0)</f>
        <v>0</v>
      </c>
      <c r="M17" s="57">
        <f>ROUND(Допущения!$C17*'Объемы реализации'!M$7*SUMIF(Сезонность!$B$1:$M$1,MONTH('Объемы реализации'!M$3),Сезонность!$B$3:$M$3),0)</f>
        <v>0</v>
      </c>
      <c r="N17" s="57">
        <f>ROUND(Допущения!$C17*'Объемы реализации'!N$7*SUMIF(Сезонность!$B$1:$M$1,MONTH('Объемы реализации'!N$3),Сезонность!$B$3:$M$3),0)</f>
        <v>0</v>
      </c>
      <c r="O17" s="57">
        <f>ROUND(Допущения!$C17*'Объемы реализации'!O$7*SUMIF(Сезонность!$B$1:$M$1,MONTH('Объемы реализации'!O$3),Сезонность!$B$3:$M$3),0)</f>
        <v>0</v>
      </c>
      <c r="P17" s="57">
        <f>ROUND(Допущения!$C17*'Объемы реализации'!P$7*SUMIF(Сезонность!$B$1:$M$1,MONTH('Объемы реализации'!P$3),Сезонность!$B$3:$M$3),0)</f>
        <v>0</v>
      </c>
      <c r="Q17" s="57">
        <f>ROUND(Допущения!$C17*'Объемы реализации'!Q$7*SUMIF(Сезонность!$B$1:$M$1,MONTH('Объемы реализации'!Q$3),Сезонность!$B$3:$M$3),0)</f>
        <v>0</v>
      </c>
      <c r="R17" s="57">
        <f>ROUND(Допущения!$C17*'Объемы реализации'!R$7*SUMIF(Сезонность!$B$1:$M$1,MONTH('Объемы реализации'!R$3),Сезонность!$B$3:$M$3),0)</f>
        <v>0</v>
      </c>
      <c r="S17" s="57">
        <f>ROUND(Допущения!$C17*'Объемы реализации'!S$7*SUMIF(Сезонность!$B$1:$M$1,MONTH('Объемы реализации'!S$3),Сезонность!$B$3:$M$3),0)</f>
        <v>0</v>
      </c>
      <c r="T17" s="57">
        <f>ROUND(Допущения!$C17*'Объемы реализации'!T$7*SUMIF(Сезонность!$B$1:$M$1,MONTH('Объемы реализации'!T$3),Сезонность!$B$3:$M$3),0)</f>
        <v>0</v>
      </c>
      <c r="U17" s="57">
        <f>ROUND(Допущения!$C17*'Объемы реализации'!U$7*SUMIF(Сезонность!$B$1:$M$1,MONTH('Объемы реализации'!U$3),Сезонность!$B$3:$M$3),0)</f>
        <v>0</v>
      </c>
      <c r="V17" s="57">
        <f>ROUND(Допущения!$C17*'Объемы реализации'!V$7*SUMIF(Сезонность!$B$1:$M$1,MONTH('Объемы реализации'!V$3),Сезонность!$B$3:$M$3),0)</f>
        <v>0</v>
      </c>
      <c r="W17" s="57">
        <f>ROUND(Допущения!$C17*'Объемы реализации'!W$7*SUMIF(Сезонность!$B$1:$M$1,MONTH('Объемы реализации'!W$3),Сезонность!$B$3:$M$3),0)</f>
        <v>0</v>
      </c>
      <c r="X17" s="57">
        <f>ROUND(Допущения!$C17*'Объемы реализации'!X$7*SUMIF(Сезонность!$B$1:$M$1,MONTH('Объемы реализации'!X$3),Сезонность!$B$3:$M$3),0)</f>
        <v>0</v>
      </c>
      <c r="Y17" s="57">
        <f>ROUND(Допущения!$C17*'Объемы реализации'!Y$7*SUMIF(Сезонность!$B$1:$M$1,MONTH('Объемы реализации'!Y$3),Сезонность!$B$3:$M$3),0)</f>
        <v>0</v>
      </c>
      <c r="Z17" s="57">
        <f>ROUND(Допущения!$C17*'Объемы реализации'!Z$7*SUMIF(Сезонность!$B$1:$M$1,MONTH('Объемы реализации'!Z$3),Сезонность!$B$3:$M$3),0)</f>
        <v>0</v>
      </c>
      <c r="AA17" s="57">
        <f>ROUND(Допущения!$C17*'Объемы реализации'!AA$7*SUMIF(Сезонность!$B$1:$M$1,MONTH('Объемы реализации'!AA$3),Сезонность!$B$3:$M$3),0)</f>
        <v>0</v>
      </c>
      <c r="AB17" s="57">
        <f>ROUND(Допущения!$C17*'Объемы реализации'!AB$7*SUMIF(Сезонность!$B$1:$M$1,MONTH('Объемы реализации'!AB$3),Сезонность!$B$3:$M$3),0)</f>
        <v>0</v>
      </c>
      <c r="AC17" s="57">
        <f>ROUND(Допущения!$C17*'Объемы реализации'!AC$7*SUMIF(Сезонность!$B$1:$M$1,MONTH('Объемы реализации'!AC$3),Сезонность!$B$3:$M$3),0)</f>
        <v>0</v>
      </c>
      <c r="AD17" s="57">
        <f>ROUND(Допущения!$C17*'Объемы реализации'!AD$7*SUMIF(Сезонность!$B$1:$M$1,MONTH('Объемы реализации'!AD$3),Сезонность!$B$3:$M$3),0)</f>
        <v>0</v>
      </c>
      <c r="AE17" s="57">
        <f>ROUND(Допущения!$C17*'Объемы реализации'!AE$7*SUMIF(Сезонность!$B$1:$M$1,MONTH('Объемы реализации'!AE$3),Сезонность!$B$3:$M$3),0)</f>
        <v>0</v>
      </c>
      <c r="AF17" s="57">
        <f>ROUND(Допущения!$C17*'Объемы реализации'!AF$7*SUMIF(Сезонность!$B$1:$M$1,MONTH('Объемы реализации'!AF$3),Сезонность!$B$3:$M$3),0)</f>
        <v>0</v>
      </c>
      <c r="AG17" s="57">
        <f>ROUND(Допущения!$C17*'Объемы реализации'!AG$7*SUMIF(Сезонность!$B$1:$M$1,MONTH('Объемы реализации'!AG$3),Сезонность!$B$3:$M$3),0)</f>
        <v>0</v>
      </c>
      <c r="AH17" s="57">
        <f>ROUND(Допущения!$C17*'Объемы реализации'!AH$7*SUMIF(Сезонность!$B$1:$M$1,MONTH('Объемы реализации'!AH$3),Сезонность!$B$3:$M$3),0)</f>
        <v>0</v>
      </c>
      <c r="AI17" s="57">
        <f>ROUND(Допущения!$C17*'Объемы реализации'!AI$7*SUMIF(Сезонность!$B$1:$M$1,MONTH('Объемы реализации'!AI$3),Сезонность!$B$3:$M$3),0)</f>
        <v>0</v>
      </c>
      <c r="AJ17" s="57">
        <f>ROUND(Допущения!$C17*'Объемы реализации'!AJ$7*SUMIF(Сезонность!$B$1:$M$1,MONTH('Объемы реализации'!AJ$3),Сезонность!$B$3:$M$3),0)</f>
        <v>0</v>
      </c>
      <c r="AK17" s="57">
        <f>ROUND(Допущения!$C17*'Объемы реализации'!AK$7*SUMIF(Сезонность!$B$1:$M$1,MONTH('Объемы реализации'!AK$3),Сезонность!$B$3:$M$3),0)</f>
        <v>0</v>
      </c>
      <c r="AL17" s="57">
        <f>ROUND(Допущения!$C17*'Объемы реализации'!AL$7*SUMIF(Сезонность!$B$1:$M$1,MONTH('Объемы реализации'!AL$3),Сезонность!$B$3:$M$3),0)</f>
        <v>0</v>
      </c>
      <c r="AM17" s="57">
        <f>ROUND(Допущения!$C17*'Объемы реализации'!AM$7*SUMIF(Сезонность!$B$1:$M$1,MONTH('Объемы реализации'!AM$3),Сезонность!$B$3:$M$3),0)</f>
        <v>0</v>
      </c>
      <c r="AN17" s="57">
        <f>ROUND(Допущения!$C17*'Объемы реализации'!AN$7*SUMIF(Сезонность!$B$1:$M$1,MONTH('Объемы реализации'!AN$3),Сезонность!$B$3:$M$3),0)</f>
        <v>0</v>
      </c>
      <c r="AO17" s="57">
        <f>ROUND(Допущения!$C17*'Объемы реализации'!AO$7*SUMIF(Сезонность!$B$1:$M$1,MONTH('Объемы реализации'!AO$3),Сезонность!$B$3:$M$3),0)</f>
        <v>0</v>
      </c>
      <c r="AP17" s="57">
        <f>ROUND(Допущения!$C17*'Объемы реализации'!AP$7*SUMIF(Сезонность!$B$1:$M$1,MONTH('Объемы реализации'!AP$3),Сезонность!$B$3:$M$3),0)</f>
        <v>0</v>
      </c>
      <c r="AQ17" s="57">
        <f>ROUND(Допущения!$C17*'Объемы реализации'!AQ$7*SUMIF(Сезонность!$B$1:$M$1,MONTH('Объемы реализации'!AQ$3),Сезонность!$B$3:$M$3),0)</f>
        <v>0</v>
      </c>
      <c r="AR17" s="57">
        <f>ROUND(Допущения!$C17*'Объемы реализации'!AR$7*SUMIF(Сезонность!$B$1:$M$1,MONTH('Объемы реализации'!AR$3),Сезонность!$B$3:$M$3),0)</f>
        <v>0</v>
      </c>
      <c r="AS17" s="57">
        <f>ROUND(Допущения!$C17*'Объемы реализации'!AS$7*SUMIF(Сезонность!$B$1:$M$1,MONTH('Объемы реализации'!AS$3),Сезонность!$B$3:$M$3),0)</f>
        <v>0</v>
      </c>
      <c r="AT17" s="57">
        <f>ROUND(Допущения!$C17*'Объемы реализации'!AT$7*SUMIF(Сезонность!$B$1:$M$1,MONTH('Объемы реализации'!AT$3),Сезонность!$B$3:$M$3),0)</f>
        <v>0</v>
      </c>
      <c r="AU17" s="57">
        <f>ROUND(Допущения!$C17*'Объемы реализации'!AU$7*SUMIF(Сезонность!$B$1:$M$1,MONTH('Объемы реализации'!AU$3),Сезонность!$B$3:$M$3),0)</f>
        <v>0</v>
      </c>
      <c r="AV17" s="57">
        <f>ROUND(Допущения!$C17*'Объемы реализации'!AV$7*SUMIF(Сезонность!$B$1:$M$1,MONTH('Объемы реализации'!AV$3),Сезонность!$B$3:$M$3),0)</f>
        <v>0</v>
      </c>
      <c r="AW17" s="57">
        <f>ROUND(Допущения!$C17*'Объемы реализации'!AW$7*SUMIF(Сезонность!$B$1:$M$1,MONTH('Объемы реализации'!AW$3),Сезонность!$B$3:$M$3),0)</f>
        <v>0</v>
      </c>
      <c r="AX17" s="57">
        <f>ROUND(Допущения!$C17*'Объемы реализации'!AX$7*SUMIF(Сезонность!$B$1:$M$1,MONTH('Объемы реализации'!AX$3),Сезонность!$B$3:$M$3),0)</f>
        <v>0</v>
      </c>
      <c r="AY17" s="57">
        <f>ROUND(Допущения!$C17*'Объемы реализации'!AY$7*SUMIF(Сезонность!$B$1:$M$1,MONTH('Объемы реализации'!AY$3),Сезонность!$B$3:$M$3),0)</f>
        <v>0</v>
      </c>
      <c r="AZ17" s="57">
        <f>ROUND(Допущения!$C17*'Объемы реализации'!AZ$7*SUMIF(Сезонность!$B$1:$M$1,MONTH('Объемы реализации'!AZ$3),Сезонность!$B$3:$M$3),0)</f>
        <v>0</v>
      </c>
      <c r="BA17" s="57">
        <f>ROUND(Допущения!$C17*'Объемы реализации'!BA$7*SUMIF(Сезонность!$B$1:$M$1,MONTH('Объемы реализации'!BA$3),Сезонность!$B$3:$M$3),0)</f>
        <v>0</v>
      </c>
      <c r="BB17" s="57">
        <f>ROUND(Допущения!$C17*'Объемы реализации'!BB$7*SUMIF(Сезонность!$B$1:$M$1,MONTH('Объемы реализации'!BB$3),Сезонность!$B$3:$M$3),0)</f>
        <v>0</v>
      </c>
      <c r="BC17" s="57">
        <f>ROUND(Допущения!$C17*'Объемы реализации'!BC$7*SUMIF(Сезонность!$B$1:$M$1,MONTH('Объемы реализации'!BC$3),Сезонность!$B$3:$M$3),0)</f>
        <v>0</v>
      </c>
      <c r="BD17" s="57">
        <f>ROUND(Допущения!$C17*'Объемы реализации'!BD$7*SUMIF(Сезонность!$B$1:$M$1,MONTH('Объемы реализации'!BD$3),Сезонность!$B$3:$M$3),0)</f>
        <v>0</v>
      </c>
      <c r="BE17" s="57">
        <f>ROUND(Допущения!$C17*'Объемы реализации'!BE$7*SUMIF(Сезонность!$B$1:$M$1,MONTH('Объемы реализации'!BE$3),Сезонность!$B$3:$M$3),0)</f>
        <v>0</v>
      </c>
      <c r="BF17" s="57">
        <f>ROUND(Допущения!$C17*'Объемы реализации'!BF$7*SUMIF(Сезонность!$B$1:$M$1,MONTH('Объемы реализации'!BF$3),Сезонность!$B$3:$M$3),0)</f>
        <v>0</v>
      </c>
      <c r="BG17" s="57">
        <f>ROUND(Допущения!$C17*'Объемы реализации'!BG$7*SUMIF(Сезонность!$B$1:$M$1,MONTH('Объемы реализации'!BG$3),Сезонность!$B$3:$M$3),0)</f>
        <v>0</v>
      </c>
      <c r="BH17" s="57">
        <f>ROUND(Допущения!$C17*'Объемы реализации'!BH$7*SUMIF(Сезонность!$B$1:$M$1,MONTH('Объемы реализации'!BH$3),Сезонность!$B$3:$M$3),0)</f>
        <v>0</v>
      </c>
      <c r="BI17" s="57">
        <f>ROUND(Допущения!$C17*'Объемы реализации'!BI$7*SUMIF(Сезонность!$B$1:$M$1,MONTH('Объемы реализации'!BI$3),Сезонность!$B$3:$M$3),0)</f>
        <v>0</v>
      </c>
      <c r="BJ17" s="57">
        <f>ROUND(Допущения!$C17*'Объемы реализации'!BJ$7*SUMIF(Сезонность!$B$1:$M$1,MONTH('Объемы реализации'!BJ$3),Сезонность!$B$3:$M$3),0)</f>
        <v>0</v>
      </c>
      <c r="BL17" s="57">
        <f t="shared" si="16"/>
        <v>0</v>
      </c>
      <c r="BM17" s="57">
        <f t="shared" si="16"/>
        <v>0</v>
      </c>
      <c r="BN17" s="57">
        <f t="shared" si="16"/>
        <v>0</v>
      </c>
      <c r="BO17" s="57">
        <f t="shared" si="16"/>
        <v>0</v>
      </c>
      <c r="BP17" s="57">
        <f t="shared" si="16"/>
        <v>0</v>
      </c>
      <c r="BQ17" s="57">
        <f t="shared" si="16"/>
        <v>0</v>
      </c>
    </row>
  </sheetData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/>
  <dimension ref="A1:DP23"/>
  <sheetViews>
    <sheetView zoomScaleNormal="100" zoomScalePageLayoutView="15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21" sqref="H21"/>
    </sheetView>
  </sheetViews>
  <sheetFormatPr defaultColWidth="8.5703125" defaultRowHeight="13.9"/>
  <cols>
    <col min="1" max="1" width="39.5703125" style="1" bestFit="1" customWidth="1"/>
    <col min="2" max="13" width="9.5703125" style="1" customWidth="1"/>
    <col min="14" max="14" width="11.35546875" style="1" customWidth="1"/>
    <col min="15" max="61" width="9.5703125" style="1" customWidth="1"/>
    <col min="62" max="63" width="8.5703125" style="1"/>
    <col min="64" max="65" width="9.5703125" style="1" customWidth="1"/>
    <col min="66" max="67" width="9.85546875" style="1" bestFit="1" customWidth="1"/>
    <col min="68" max="68" width="10.5703125" style="1" customWidth="1"/>
    <col min="69" max="69" width="11.85546875" style="1" customWidth="1"/>
    <col min="70" max="16384" width="8.5703125" style="1"/>
  </cols>
  <sheetData>
    <row r="1" spans="1:120">
      <c r="A1" s="18" t="s">
        <v>6</v>
      </c>
      <c r="B1" s="19">
        <f>IF(OR(MONTH(B3)=1,MONTH(B3)=2,MONTH(B3)=3),1,IF(OR(MONTH(B3)=4,MONTH(B3)=5,MONTH(B3)=6),2,IF(OR(MONTH(B3)=7,MONTH(B3)=8,MONTH(B3)=9),3,4)))</f>
        <v>3</v>
      </c>
      <c r="C1" s="19">
        <f>IF(OR(MONTH(C3)=1,MONTH(C3)=2,MONTH(C3)=3),1,IF(OR(MONTH(C3)=4,MONTH(C3)=5,MONTH(C3)=6),2,IF(OR(MONTH(C3)=7,MONTH(C3)=8,MONTH(C3)=9),3,4)))</f>
        <v>4</v>
      </c>
      <c r="D1" s="19">
        <f>IF(OR(MONTH(D3)=1,MONTH(D3)=2,MONTH(D3)=3),1,IF(OR(MONTH(D3)=4,MONTH(D3)=5,MONTH(D3)=6),2,IF(OR(MONTH(D3)=7,MONTH(D3)=8,MONTH(D3)=9),3,4)))</f>
        <v>4</v>
      </c>
      <c r="E1" s="19">
        <f t="shared" ref="E1:BH1" si="0">IF(OR(MONTH(E3)=1,MONTH(E3)=2,MONTH(E3)=3),1,IF(OR(MONTH(E3)=4,MONTH(E3)=5,MONTH(E3)=6),2,IF(OR(MONTH(E3)=7,MONTH(E3)=8,MONTH(E3)=9),3,4)))</f>
        <v>4</v>
      </c>
      <c r="F1" s="19">
        <f t="shared" si="0"/>
        <v>1</v>
      </c>
      <c r="G1" s="19">
        <f t="shared" si="0"/>
        <v>1</v>
      </c>
      <c r="H1" s="19">
        <f t="shared" si="0"/>
        <v>1</v>
      </c>
      <c r="I1" s="19">
        <f t="shared" si="0"/>
        <v>2</v>
      </c>
      <c r="J1" s="19">
        <f t="shared" si="0"/>
        <v>2</v>
      </c>
      <c r="K1" s="19">
        <f t="shared" si="0"/>
        <v>2</v>
      </c>
      <c r="L1" s="19">
        <f t="shared" si="0"/>
        <v>3</v>
      </c>
      <c r="M1" s="19">
        <f t="shared" si="0"/>
        <v>3</v>
      </c>
      <c r="N1" s="19">
        <f t="shared" si="0"/>
        <v>3</v>
      </c>
      <c r="O1" s="19">
        <f t="shared" si="0"/>
        <v>4</v>
      </c>
      <c r="P1" s="19">
        <f t="shared" si="0"/>
        <v>4</v>
      </c>
      <c r="Q1" s="19">
        <f t="shared" si="0"/>
        <v>4</v>
      </c>
      <c r="R1" s="19">
        <f t="shared" si="0"/>
        <v>1</v>
      </c>
      <c r="S1" s="19">
        <f t="shared" si="0"/>
        <v>1</v>
      </c>
      <c r="T1" s="19">
        <f t="shared" si="0"/>
        <v>1</v>
      </c>
      <c r="U1" s="19">
        <f t="shared" si="0"/>
        <v>2</v>
      </c>
      <c r="V1" s="19">
        <f t="shared" si="0"/>
        <v>2</v>
      </c>
      <c r="W1" s="19">
        <f t="shared" si="0"/>
        <v>2</v>
      </c>
      <c r="X1" s="19">
        <f t="shared" si="0"/>
        <v>3</v>
      </c>
      <c r="Y1" s="19">
        <f t="shared" si="0"/>
        <v>3</v>
      </c>
      <c r="Z1" s="19">
        <f t="shared" si="0"/>
        <v>3</v>
      </c>
      <c r="AA1" s="19">
        <f t="shared" si="0"/>
        <v>4</v>
      </c>
      <c r="AB1" s="19">
        <f t="shared" si="0"/>
        <v>4</v>
      </c>
      <c r="AC1" s="19">
        <f t="shared" si="0"/>
        <v>4</v>
      </c>
      <c r="AD1" s="19">
        <f t="shared" si="0"/>
        <v>1</v>
      </c>
      <c r="AE1" s="19">
        <f t="shared" si="0"/>
        <v>1</v>
      </c>
      <c r="AF1" s="19">
        <f t="shared" si="0"/>
        <v>1</v>
      </c>
      <c r="AG1" s="19">
        <f t="shared" si="0"/>
        <v>2</v>
      </c>
      <c r="AH1" s="19">
        <f t="shared" si="0"/>
        <v>2</v>
      </c>
      <c r="AI1" s="19">
        <f t="shared" si="0"/>
        <v>2</v>
      </c>
      <c r="AJ1" s="19">
        <f t="shared" si="0"/>
        <v>3</v>
      </c>
      <c r="AK1" s="19">
        <f t="shared" si="0"/>
        <v>3</v>
      </c>
      <c r="AL1" s="19">
        <f t="shared" si="0"/>
        <v>3</v>
      </c>
      <c r="AM1" s="19">
        <f t="shared" si="0"/>
        <v>4</v>
      </c>
      <c r="AN1" s="19">
        <f t="shared" si="0"/>
        <v>4</v>
      </c>
      <c r="AO1" s="19">
        <f t="shared" si="0"/>
        <v>4</v>
      </c>
      <c r="AP1" s="19">
        <f t="shared" si="0"/>
        <v>1</v>
      </c>
      <c r="AQ1" s="19">
        <f t="shared" si="0"/>
        <v>1</v>
      </c>
      <c r="AR1" s="19">
        <f t="shared" si="0"/>
        <v>1</v>
      </c>
      <c r="AS1" s="19">
        <f t="shared" si="0"/>
        <v>2</v>
      </c>
      <c r="AT1" s="19">
        <f t="shared" si="0"/>
        <v>2</v>
      </c>
      <c r="AU1" s="19">
        <f t="shared" si="0"/>
        <v>2</v>
      </c>
      <c r="AV1" s="19">
        <f t="shared" si="0"/>
        <v>3</v>
      </c>
      <c r="AW1" s="19">
        <f t="shared" si="0"/>
        <v>3</v>
      </c>
      <c r="AX1" s="19">
        <f t="shared" si="0"/>
        <v>3</v>
      </c>
      <c r="AY1" s="19">
        <f t="shared" si="0"/>
        <v>4</v>
      </c>
      <c r="AZ1" s="19">
        <f t="shared" si="0"/>
        <v>4</v>
      </c>
      <c r="BA1" s="19">
        <f t="shared" si="0"/>
        <v>4</v>
      </c>
      <c r="BB1" s="19">
        <f t="shared" si="0"/>
        <v>1</v>
      </c>
      <c r="BC1" s="19">
        <f t="shared" si="0"/>
        <v>1</v>
      </c>
      <c r="BD1" s="19">
        <f t="shared" si="0"/>
        <v>1</v>
      </c>
      <c r="BE1" s="19">
        <f t="shared" si="0"/>
        <v>2</v>
      </c>
      <c r="BF1" s="19">
        <f t="shared" si="0"/>
        <v>2</v>
      </c>
      <c r="BG1" s="19">
        <f t="shared" si="0"/>
        <v>2</v>
      </c>
      <c r="BH1" s="19">
        <f t="shared" si="0"/>
        <v>3</v>
      </c>
      <c r="BI1" s="19">
        <f t="shared" ref="BI1" si="1">IF(OR(MONTH(BI3)=1,MONTH(BI3)=2,MONTH(BI3)=3),1,IF(OR(MONTH(BI3)=4,MONTH(BI3)=5,MONTH(BI3)=6),2,IF(OR(MONTH(BI3)=7,MONTH(BI3)=8,MONTH(BI3)=9),3,4)))</f>
        <v>3</v>
      </c>
      <c r="BL1" s="2"/>
    </row>
    <row r="2" spans="1:120">
      <c r="A2" s="18" t="s">
        <v>7</v>
      </c>
      <c r="B2" s="19">
        <f>YEAR(B3)</f>
        <v>2025</v>
      </c>
      <c r="C2" s="19">
        <f>YEAR(C3)</f>
        <v>2025</v>
      </c>
      <c r="D2" s="19">
        <f t="shared" ref="D2:BI2" si="2">YEAR(D3)</f>
        <v>2025</v>
      </c>
      <c r="E2" s="19">
        <f t="shared" si="2"/>
        <v>2025</v>
      </c>
      <c r="F2" s="19">
        <f t="shared" si="2"/>
        <v>2026</v>
      </c>
      <c r="G2" s="19">
        <f t="shared" si="2"/>
        <v>2026</v>
      </c>
      <c r="H2" s="19">
        <f t="shared" si="2"/>
        <v>2026</v>
      </c>
      <c r="I2" s="19">
        <f t="shared" si="2"/>
        <v>2026</v>
      </c>
      <c r="J2" s="19">
        <f t="shared" si="2"/>
        <v>2026</v>
      </c>
      <c r="K2" s="19">
        <f t="shared" si="2"/>
        <v>2026</v>
      </c>
      <c r="L2" s="19">
        <f t="shared" si="2"/>
        <v>2026</v>
      </c>
      <c r="M2" s="19">
        <f t="shared" si="2"/>
        <v>2026</v>
      </c>
      <c r="N2" s="19">
        <f t="shared" si="2"/>
        <v>2026</v>
      </c>
      <c r="O2" s="19">
        <f t="shared" si="2"/>
        <v>2026</v>
      </c>
      <c r="P2" s="19">
        <f t="shared" si="2"/>
        <v>2026</v>
      </c>
      <c r="Q2" s="19">
        <f t="shared" si="2"/>
        <v>2026</v>
      </c>
      <c r="R2" s="19">
        <f t="shared" si="2"/>
        <v>2027</v>
      </c>
      <c r="S2" s="19">
        <f t="shared" si="2"/>
        <v>2027</v>
      </c>
      <c r="T2" s="19">
        <f t="shared" si="2"/>
        <v>2027</v>
      </c>
      <c r="U2" s="19">
        <f t="shared" si="2"/>
        <v>2027</v>
      </c>
      <c r="V2" s="19">
        <f t="shared" si="2"/>
        <v>2027</v>
      </c>
      <c r="W2" s="19">
        <f t="shared" si="2"/>
        <v>2027</v>
      </c>
      <c r="X2" s="19">
        <f t="shared" si="2"/>
        <v>2027</v>
      </c>
      <c r="Y2" s="19">
        <f t="shared" si="2"/>
        <v>2027</v>
      </c>
      <c r="Z2" s="19">
        <f t="shared" si="2"/>
        <v>2027</v>
      </c>
      <c r="AA2" s="19">
        <f t="shared" si="2"/>
        <v>2027</v>
      </c>
      <c r="AB2" s="19">
        <f t="shared" si="2"/>
        <v>2027</v>
      </c>
      <c r="AC2" s="19">
        <f t="shared" si="2"/>
        <v>2027</v>
      </c>
      <c r="AD2" s="19">
        <f t="shared" si="2"/>
        <v>2028</v>
      </c>
      <c r="AE2" s="19">
        <f t="shared" si="2"/>
        <v>2028</v>
      </c>
      <c r="AF2" s="19">
        <f t="shared" si="2"/>
        <v>2028</v>
      </c>
      <c r="AG2" s="19">
        <f t="shared" si="2"/>
        <v>2028</v>
      </c>
      <c r="AH2" s="19">
        <f t="shared" si="2"/>
        <v>2028</v>
      </c>
      <c r="AI2" s="19">
        <f t="shared" si="2"/>
        <v>2028</v>
      </c>
      <c r="AJ2" s="19">
        <f t="shared" si="2"/>
        <v>2028</v>
      </c>
      <c r="AK2" s="19">
        <f t="shared" si="2"/>
        <v>2028</v>
      </c>
      <c r="AL2" s="19">
        <f t="shared" si="2"/>
        <v>2028</v>
      </c>
      <c r="AM2" s="19">
        <f t="shared" si="2"/>
        <v>2028</v>
      </c>
      <c r="AN2" s="19">
        <f t="shared" si="2"/>
        <v>2028</v>
      </c>
      <c r="AO2" s="19">
        <f t="shared" si="2"/>
        <v>2028</v>
      </c>
      <c r="AP2" s="19">
        <f t="shared" si="2"/>
        <v>2029</v>
      </c>
      <c r="AQ2" s="19">
        <f t="shared" si="2"/>
        <v>2029</v>
      </c>
      <c r="AR2" s="19">
        <f t="shared" si="2"/>
        <v>2029</v>
      </c>
      <c r="AS2" s="19">
        <f t="shared" si="2"/>
        <v>2029</v>
      </c>
      <c r="AT2" s="19">
        <f t="shared" si="2"/>
        <v>2029</v>
      </c>
      <c r="AU2" s="19">
        <f t="shared" si="2"/>
        <v>2029</v>
      </c>
      <c r="AV2" s="19">
        <f t="shared" si="2"/>
        <v>2029</v>
      </c>
      <c r="AW2" s="19">
        <f t="shared" si="2"/>
        <v>2029</v>
      </c>
      <c r="AX2" s="19">
        <f t="shared" si="2"/>
        <v>2029</v>
      </c>
      <c r="AY2" s="19">
        <f t="shared" si="2"/>
        <v>2029</v>
      </c>
      <c r="AZ2" s="19">
        <f t="shared" si="2"/>
        <v>2029</v>
      </c>
      <c r="BA2" s="19">
        <f t="shared" si="2"/>
        <v>2029</v>
      </c>
      <c r="BB2" s="19">
        <f t="shared" si="2"/>
        <v>2030</v>
      </c>
      <c r="BC2" s="19">
        <f t="shared" si="2"/>
        <v>2030</v>
      </c>
      <c r="BD2" s="19">
        <f t="shared" si="2"/>
        <v>2030</v>
      </c>
      <c r="BE2" s="19">
        <f t="shared" si="2"/>
        <v>2030</v>
      </c>
      <c r="BF2" s="19">
        <f t="shared" si="2"/>
        <v>2030</v>
      </c>
      <c r="BG2" s="19">
        <f t="shared" si="2"/>
        <v>2030</v>
      </c>
      <c r="BH2" s="19">
        <f t="shared" si="2"/>
        <v>2030</v>
      </c>
      <c r="BI2" s="19">
        <f t="shared" si="2"/>
        <v>2030</v>
      </c>
      <c r="BK2" s="56">
        <f>YEAR(Допущения!C4)</f>
        <v>2025</v>
      </c>
      <c r="BL2" s="56">
        <f t="shared" ref="BL2:BN2" si="3">BK2+1</f>
        <v>2026</v>
      </c>
      <c r="BM2" s="56">
        <f t="shared" si="3"/>
        <v>2027</v>
      </c>
      <c r="BN2" s="56">
        <f t="shared" si="3"/>
        <v>2028</v>
      </c>
      <c r="BO2" s="56">
        <f t="shared" ref="BO2" si="4">BN2+1</f>
        <v>2029</v>
      </c>
      <c r="BP2" s="56">
        <f t="shared" ref="BP2" si="5">BO2+1</f>
        <v>2030</v>
      </c>
      <c r="BQ2" s="56" t="s">
        <v>11</v>
      </c>
    </row>
    <row r="3" spans="1:120">
      <c r="A3" s="18" t="s">
        <v>8</v>
      </c>
      <c r="B3" s="20">
        <f>Допущения!C4</f>
        <v>45901</v>
      </c>
      <c r="C3" s="20">
        <f t="shared" ref="C3:N3" si="6">DATE(YEAR(B3),MONTH(B3)+1,1)</f>
        <v>45931</v>
      </c>
      <c r="D3" s="20">
        <f t="shared" si="6"/>
        <v>45962</v>
      </c>
      <c r="E3" s="20">
        <f t="shared" si="6"/>
        <v>45992</v>
      </c>
      <c r="F3" s="20">
        <f t="shared" si="6"/>
        <v>46023</v>
      </c>
      <c r="G3" s="20">
        <f t="shared" si="6"/>
        <v>46054</v>
      </c>
      <c r="H3" s="20">
        <f t="shared" si="6"/>
        <v>46082</v>
      </c>
      <c r="I3" s="20">
        <f t="shared" si="6"/>
        <v>46113</v>
      </c>
      <c r="J3" s="20">
        <f t="shared" si="6"/>
        <v>46143</v>
      </c>
      <c r="K3" s="20">
        <f t="shared" si="6"/>
        <v>46174</v>
      </c>
      <c r="L3" s="20">
        <f t="shared" si="6"/>
        <v>46204</v>
      </c>
      <c r="M3" s="20">
        <f t="shared" si="6"/>
        <v>46235</v>
      </c>
      <c r="N3" s="20">
        <f t="shared" si="6"/>
        <v>46266</v>
      </c>
      <c r="O3" s="20">
        <f t="shared" ref="O3:AK3" si="7">DATE(YEAR(N3),MONTH(N3)+1,1)</f>
        <v>46296</v>
      </c>
      <c r="P3" s="20">
        <f t="shared" si="7"/>
        <v>46327</v>
      </c>
      <c r="Q3" s="20">
        <f t="shared" si="7"/>
        <v>46357</v>
      </c>
      <c r="R3" s="20">
        <f t="shared" si="7"/>
        <v>46388</v>
      </c>
      <c r="S3" s="20">
        <f t="shared" si="7"/>
        <v>46419</v>
      </c>
      <c r="T3" s="20">
        <f t="shared" si="7"/>
        <v>46447</v>
      </c>
      <c r="U3" s="20">
        <f t="shared" si="7"/>
        <v>46478</v>
      </c>
      <c r="V3" s="20">
        <f t="shared" si="7"/>
        <v>46508</v>
      </c>
      <c r="W3" s="20">
        <f t="shared" si="7"/>
        <v>46539</v>
      </c>
      <c r="X3" s="20">
        <f t="shared" si="7"/>
        <v>46569</v>
      </c>
      <c r="Y3" s="20">
        <f t="shared" si="7"/>
        <v>46600</v>
      </c>
      <c r="Z3" s="20">
        <f t="shared" si="7"/>
        <v>46631</v>
      </c>
      <c r="AA3" s="20">
        <f t="shared" si="7"/>
        <v>46661</v>
      </c>
      <c r="AB3" s="20">
        <f t="shared" si="7"/>
        <v>46692</v>
      </c>
      <c r="AC3" s="20">
        <f t="shared" si="7"/>
        <v>46722</v>
      </c>
      <c r="AD3" s="20">
        <f t="shared" si="7"/>
        <v>46753</v>
      </c>
      <c r="AE3" s="20">
        <f t="shared" si="7"/>
        <v>46784</v>
      </c>
      <c r="AF3" s="20">
        <f t="shared" si="7"/>
        <v>46813</v>
      </c>
      <c r="AG3" s="20">
        <f t="shared" si="7"/>
        <v>46844</v>
      </c>
      <c r="AH3" s="20">
        <f t="shared" si="7"/>
        <v>46874</v>
      </c>
      <c r="AI3" s="20">
        <f t="shared" si="7"/>
        <v>46905</v>
      </c>
      <c r="AJ3" s="20">
        <f t="shared" si="7"/>
        <v>46935</v>
      </c>
      <c r="AK3" s="20">
        <f t="shared" si="7"/>
        <v>46966</v>
      </c>
      <c r="AL3" s="20">
        <f t="shared" ref="AL3:BH3" si="8">DATE(YEAR(AK3),MONTH(AK3)+1,1)</f>
        <v>46997</v>
      </c>
      <c r="AM3" s="20">
        <f t="shared" si="8"/>
        <v>47027</v>
      </c>
      <c r="AN3" s="20">
        <f t="shared" si="8"/>
        <v>47058</v>
      </c>
      <c r="AO3" s="20">
        <f t="shared" si="8"/>
        <v>47088</v>
      </c>
      <c r="AP3" s="20">
        <f t="shared" si="8"/>
        <v>47119</v>
      </c>
      <c r="AQ3" s="20">
        <f t="shared" si="8"/>
        <v>47150</v>
      </c>
      <c r="AR3" s="20">
        <f t="shared" si="8"/>
        <v>47178</v>
      </c>
      <c r="AS3" s="20">
        <f t="shared" si="8"/>
        <v>47209</v>
      </c>
      <c r="AT3" s="20">
        <f t="shared" si="8"/>
        <v>47239</v>
      </c>
      <c r="AU3" s="20">
        <f t="shared" si="8"/>
        <v>47270</v>
      </c>
      <c r="AV3" s="20">
        <f t="shared" si="8"/>
        <v>47300</v>
      </c>
      <c r="AW3" s="20">
        <f t="shared" si="8"/>
        <v>47331</v>
      </c>
      <c r="AX3" s="20">
        <f t="shared" si="8"/>
        <v>47362</v>
      </c>
      <c r="AY3" s="20">
        <f t="shared" si="8"/>
        <v>47392</v>
      </c>
      <c r="AZ3" s="20">
        <f t="shared" si="8"/>
        <v>47423</v>
      </c>
      <c r="BA3" s="20">
        <f t="shared" si="8"/>
        <v>47453</v>
      </c>
      <c r="BB3" s="20">
        <f t="shared" si="8"/>
        <v>47484</v>
      </c>
      <c r="BC3" s="20">
        <f t="shared" si="8"/>
        <v>47515</v>
      </c>
      <c r="BD3" s="20">
        <f t="shared" si="8"/>
        <v>47543</v>
      </c>
      <c r="BE3" s="20">
        <f t="shared" si="8"/>
        <v>47574</v>
      </c>
      <c r="BF3" s="20">
        <f t="shared" si="8"/>
        <v>47604</v>
      </c>
      <c r="BG3" s="20">
        <f t="shared" si="8"/>
        <v>47635</v>
      </c>
      <c r="BH3" s="20">
        <f t="shared" si="8"/>
        <v>47665</v>
      </c>
      <c r="BI3" s="20">
        <f t="shared" ref="BI3:BJ3" si="9">DATE(YEAR(BH3),MONTH(BH3)+1,1)</f>
        <v>47696</v>
      </c>
      <c r="BJ3" s="9">
        <f t="shared" si="9"/>
        <v>47727</v>
      </c>
    </row>
    <row r="4" spans="1:120">
      <c r="A4" s="18" t="s">
        <v>10</v>
      </c>
      <c r="B4" s="19">
        <f>C3-B3</f>
        <v>30</v>
      </c>
      <c r="C4" s="19">
        <f>D3-C3</f>
        <v>31</v>
      </c>
      <c r="D4" s="19">
        <f t="shared" ref="D4:AH4" si="10">E3-D3</f>
        <v>30</v>
      </c>
      <c r="E4" s="19">
        <f t="shared" si="10"/>
        <v>31</v>
      </c>
      <c r="F4" s="19">
        <f t="shared" si="10"/>
        <v>31</v>
      </c>
      <c r="G4" s="19">
        <f t="shared" si="10"/>
        <v>28</v>
      </c>
      <c r="H4" s="19">
        <f t="shared" si="10"/>
        <v>31</v>
      </c>
      <c r="I4" s="19">
        <f t="shared" si="10"/>
        <v>30</v>
      </c>
      <c r="J4" s="19">
        <f t="shared" si="10"/>
        <v>31</v>
      </c>
      <c r="K4" s="19">
        <f t="shared" si="10"/>
        <v>30</v>
      </c>
      <c r="L4" s="19">
        <f t="shared" si="10"/>
        <v>31</v>
      </c>
      <c r="M4" s="19">
        <f t="shared" si="10"/>
        <v>31</v>
      </c>
      <c r="N4" s="19">
        <f t="shared" si="10"/>
        <v>30</v>
      </c>
      <c r="O4" s="19">
        <f t="shared" si="10"/>
        <v>31</v>
      </c>
      <c r="P4" s="19">
        <f t="shared" si="10"/>
        <v>30</v>
      </c>
      <c r="Q4" s="19">
        <f t="shared" si="10"/>
        <v>31</v>
      </c>
      <c r="R4" s="19">
        <f t="shared" si="10"/>
        <v>31</v>
      </c>
      <c r="S4" s="19">
        <f t="shared" si="10"/>
        <v>28</v>
      </c>
      <c r="T4" s="19">
        <f t="shared" si="10"/>
        <v>31</v>
      </c>
      <c r="U4" s="19">
        <f t="shared" si="10"/>
        <v>30</v>
      </c>
      <c r="V4" s="19">
        <f t="shared" si="10"/>
        <v>31</v>
      </c>
      <c r="W4" s="19">
        <f t="shared" si="10"/>
        <v>30</v>
      </c>
      <c r="X4" s="19">
        <f t="shared" si="10"/>
        <v>31</v>
      </c>
      <c r="Y4" s="19">
        <f t="shared" si="10"/>
        <v>31</v>
      </c>
      <c r="Z4" s="19">
        <f t="shared" si="10"/>
        <v>30</v>
      </c>
      <c r="AA4" s="19">
        <f t="shared" si="10"/>
        <v>31</v>
      </c>
      <c r="AB4" s="19">
        <f t="shared" si="10"/>
        <v>30</v>
      </c>
      <c r="AC4" s="19">
        <f t="shared" si="10"/>
        <v>31</v>
      </c>
      <c r="AD4" s="19">
        <f t="shared" si="10"/>
        <v>31</v>
      </c>
      <c r="AE4" s="19">
        <f t="shared" si="10"/>
        <v>29</v>
      </c>
      <c r="AF4" s="19">
        <f t="shared" si="10"/>
        <v>31</v>
      </c>
      <c r="AG4" s="19">
        <f t="shared" si="10"/>
        <v>30</v>
      </c>
      <c r="AH4" s="19">
        <f t="shared" si="10"/>
        <v>31</v>
      </c>
      <c r="AI4" s="19">
        <f t="shared" ref="AI4" si="11">AJ3-AI3</f>
        <v>30</v>
      </c>
      <c r="AJ4" s="19">
        <f t="shared" ref="AJ4" si="12">AK3-AJ3</f>
        <v>31</v>
      </c>
      <c r="AK4" s="19">
        <f t="shared" ref="AK4" si="13">AL3-AK3</f>
        <v>31</v>
      </c>
      <c r="AL4" s="19">
        <f t="shared" ref="AL4" si="14">AM3-AL3</f>
        <v>30</v>
      </c>
      <c r="AM4" s="19">
        <f t="shared" ref="AM4" si="15">AN3-AM3</f>
        <v>31</v>
      </c>
      <c r="AN4" s="19">
        <f t="shared" ref="AN4" si="16">AO3-AN3</f>
        <v>30</v>
      </c>
      <c r="AO4" s="19">
        <f t="shared" ref="AO4" si="17">AP3-AO3</f>
        <v>31</v>
      </c>
      <c r="AP4" s="19">
        <f t="shared" ref="AP4" si="18">AQ3-AP3</f>
        <v>31</v>
      </c>
      <c r="AQ4" s="19">
        <f t="shared" ref="AQ4" si="19">AR3-AQ3</f>
        <v>28</v>
      </c>
      <c r="AR4" s="19">
        <f t="shared" ref="AR4" si="20">AS3-AR3</f>
        <v>31</v>
      </c>
      <c r="AS4" s="19">
        <f t="shared" ref="AS4" si="21">AT3-AS3</f>
        <v>30</v>
      </c>
      <c r="AT4" s="19">
        <f t="shared" ref="AT4" si="22">AU3-AT3</f>
        <v>31</v>
      </c>
      <c r="AU4" s="19">
        <f t="shared" ref="AU4" si="23">AV3-AU3</f>
        <v>30</v>
      </c>
      <c r="AV4" s="19">
        <f t="shared" ref="AV4" si="24">AW3-AV3</f>
        <v>31</v>
      </c>
      <c r="AW4" s="19">
        <f t="shared" ref="AW4" si="25">AX3-AW3</f>
        <v>31</v>
      </c>
      <c r="AX4" s="19">
        <f t="shared" ref="AX4" si="26">AY3-AX3</f>
        <v>30</v>
      </c>
      <c r="AY4" s="19">
        <f t="shared" ref="AY4" si="27">AZ3-AY3</f>
        <v>31</v>
      </c>
      <c r="AZ4" s="19">
        <f t="shared" ref="AZ4" si="28">BA3-AZ3</f>
        <v>30</v>
      </c>
      <c r="BA4" s="19">
        <f t="shared" ref="BA4" si="29">BB3-BA3</f>
        <v>31</v>
      </c>
      <c r="BB4" s="19">
        <f t="shared" ref="BB4" si="30">BC3-BB3</f>
        <v>31</v>
      </c>
      <c r="BC4" s="19">
        <f t="shared" ref="BC4" si="31">BD3-BC3</f>
        <v>28</v>
      </c>
      <c r="BD4" s="19">
        <f t="shared" ref="BD4" si="32">BE3-BD3</f>
        <v>31</v>
      </c>
      <c r="BE4" s="19">
        <f t="shared" ref="BE4" si="33">BF3-BE3</f>
        <v>30</v>
      </c>
      <c r="BF4" s="19">
        <f t="shared" ref="BF4" si="34">BG3-BF3</f>
        <v>31</v>
      </c>
      <c r="BG4" s="19">
        <f t="shared" ref="BG4" si="35">BH3-BG3</f>
        <v>30</v>
      </c>
      <c r="BH4" s="19">
        <f t="shared" ref="BH4:BI4" si="36">BI3-BH3</f>
        <v>31</v>
      </c>
      <c r="BI4" s="19">
        <f t="shared" si="36"/>
        <v>31</v>
      </c>
    </row>
    <row r="5" spans="1:120">
      <c r="A5" s="18" t="s">
        <v>9</v>
      </c>
      <c r="B5" s="19">
        <v>1</v>
      </c>
      <c r="C5" s="19">
        <f>B5+1</f>
        <v>2</v>
      </c>
      <c r="D5" s="19">
        <f t="shared" ref="D5:AK5" si="37">C5+1</f>
        <v>3</v>
      </c>
      <c r="E5" s="19">
        <f t="shared" si="37"/>
        <v>4</v>
      </c>
      <c r="F5" s="19">
        <f t="shared" si="37"/>
        <v>5</v>
      </c>
      <c r="G5" s="19">
        <f t="shared" si="37"/>
        <v>6</v>
      </c>
      <c r="H5" s="19">
        <f t="shared" si="37"/>
        <v>7</v>
      </c>
      <c r="I5" s="19">
        <f t="shared" si="37"/>
        <v>8</v>
      </c>
      <c r="J5" s="19">
        <f t="shared" si="37"/>
        <v>9</v>
      </c>
      <c r="K5" s="19">
        <f t="shared" si="37"/>
        <v>10</v>
      </c>
      <c r="L5" s="19">
        <f t="shared" si="37"/>
        <v>11</v>
      </c>
      <c r="M5" s="19">
        <f t="shared" si="37"/>
        <v>12</v>
      </c>
      <c r="N5" s="19">
        <f t="shared" si="37"/>
        <v>13</v>
      </c>
      <c r="O5" s="19">
        <f t="shared" si="37"/>
        <v>14</v>
      </c>
      <c r="P5" s="19">
        <f t="shared" si="37"/>
        <v>15</v>
      </c>
      <c r="Q5" s="19">
        <f t="shared" si="37"/>
        <v>16</v>
      </c>
      <c r="R5" s="19">
        <f t="shared" si="37"/>
        <v>17</v>
      </c>
      <c r="S5" s="19">
        <f t="shared" si="37"/>
        <v>18</v>
      </c>
      <c r="T5" s="19">
        <f t="shared" si="37"/>
        <v>19</v>
      </c>
      <c r="U5" s="19">
        <f t="shared" si="37"/>
        <v>20</v>
      </c>
      <c r="V5" s="19">
        <f t="shared" si="37"/>
        <v>21</v>
      </c>
      <c r="W5" s="19">
        <f t="shared" si="37"/>
        <v>22</v>
      </c>
      <c r="X5" s="19">
        <f t="shared" si="37"/>
        <v>23</v>
      </c>
      <c r="Y5" s="19">
        <f t="shared" si="37"/>
        <v>24</v>
      </c>
      <c r="Z5" s="19">
        <f t="shared" si="37"/>
        <v>25</v>
      </c>
      <c r="AA5" s="19">
        <f t="shared" si="37"/>
        <v>26</v>
      </c>
      <c r="AB5" s="19">
        <f t="shared" si="37"/>
        <v>27</v>
      </c>
      <c r="AC5" s="19">
        <f t="shared" si="37"/>
        <v>28</v>
      </c>
      <c r="AD5" s="19">
        <f t="shared" si="37"/>
        <v>29</v>
      </c>
      <c r="AE5" s="19">
        <f t="shared" si="37"/>
        <v>30</v>
      </c>
      <c r="AF5" s="19">
        <f t="shared" si="37"/>
        <v>31</v>
      </c>
      <c r="AG5" s="19">
        <f t="shared" si="37"/>
        <v>32</v>
      </c>
      <c r="AH5" s="19">
        <f t="shared" si="37"/>
        <v>33</v>
      </c>
      <c r="AI5" s="19">
        <f>AH5+1</f>
        <v>34</v>
      </c>
      <c r="AJ5" s="19">
        <f t="shared" si="37"/>
        <v>35</v>
      </c>
      <c r="AK5" s="19">
        <f t="shared" si="37"/>
        <v>36</v>
      </c>
      <c r="AL5" s="19">
        <f t="shared" ref="AL5:BH5" si="38">AK5+1</f>
        <v>37</v>
      </c>
      <c r="AM5" s="19">
        <f t="shared" si="38"/>
        <v>38</v>
      </c>
      <c r="AN5" s="19">
        <f t="shared" si="38"/>
        <v>39</v>
      </c>
      <c r="AO5" s="19">
        <f t="shared" si="38"/>
        <v>40</v>
      </c>
      <c r="AP5" s="19">
        <f t="shared" si="38"/>
        <v>41</v>
      </c>
      <c r="AQ5" s="19">
        <f t="shared" si="38"/>
        <v>42</v>
      </c>
      <c r="AR5" s="19">
        <f t="shared" si="38"/>
        <v>43</v>
      </c>
      <c r="AS5" s="19">
        <f t="shared" si="38"/>
        <v>44</v>
      </c>
      <c r="AT5" s="19">
        <f t="shared" si="38"/>
        <v>45</v>
      </c>
      <c r="AU5" s="19">
        <f t="shared" si="38"/>
        <v>46</v>
      </c>
      <c r="AV5" s="19">
        <f t="shared" si="38"/>
        <v>47</v>
      </c>
      <c r="AW5" s="19">
        <f t="shared" si="38"/>
        <v>48</v>
      </c>
      <c r="AX5" s="19">
        <f t="shared" si="38"/>
        <v>49</v>
      </c>
      <c r="AY5" s="19">
        <f t="shared" si="38"/>
        <v>50</v>
      </c>
      <c r="AZ5" s="19">
        <f t="shared" si="38"/>
        <v>51</v>
      </c>
      <c r="BA5" s="19">
        <f t="shared" si="38"/>
        <v>52</v>
      </c>
      <c r="BB5" s="19">
        <f t="shared" si="38"/>
        <v>53</v>
      </c>
      <c r="BC5" s="19">
        <f t="shared" si="38"/>
        <v>54</v>
      </c>
      <c r="BD5" s="19">
        <f t="shared" si="38"/>
        <v>55</v>
      </c>
      <c r="BE5" s="19">
        <f t="shared" si="38"/>
        <v>56</v>
      </c>
      <c r="BF5" s="19">
        <f t="shared" si="38"/>
        <v>57</v>
      </c>
      <c r="BG5" s="19">
        <f t="shared" si="38"/>
        <v>58</v>
      </c>
      <c r="BH5" s="19">
        <f t="shared" si="38"/>
        <v>59</v>
      </c>
      <c r="BI5" s="19">
        <f t="shared" ref="BI5" si="39">BH5+1</f>
        <v>60</v>
      </c>
    </row>
    <row r="6" spans="1:120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K6" s="4"/>
      <c r="BM6" s="4"/>
      <c r="BR6" s="4"/>
      <c r="BT6" s="4"/>
      <c r="BV6" s="4"/>
      <c r="BX6" s="4"/>
      <c r="BZ6" s="4"/>
      <c r="CB6" s="4"/>
      <c r="CD6" s="4"/>
      <c r="CF6" s="4"/>
      <c r="CH6" s="4"/>
      <c r="CJ6" s="4"/>
      <c r="CL6" s="4"/>
      <c r="CN6" s="4"/>
      <c r="CP6" s="4"/>
      <c r="CR6" s="4"/>
      <c r="CT6" s="4"/>
      <c r="CV6" s="4"/>
      <c r="CX6" s="4"/>
      <c r="CZ6" s="4"/>
      <c r="DB6" s="4"/>
      <c r="DD6" s="4"/>
      <c r="DF6" s="4"/>
      <c r="DH6" s="4"/>
      <c r="DJ6" s="4"/>
      <c r="DL6" s="4"/>
      <c r="DN6" s="4"/>
      <c r="DP6" s="4"/>
    </row>
    <row r="7" spans="1:120">
      <c r="B7" s="4"/>
      <c r="C7" s="4"/>
      <c r="D7" s="5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</row>
    <row r="8" spans="1:120">
      <c r="A8" s="18" t="s">
        <v>246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</row>
    <row r="9" spans="1:120">
      <c r="A9" s="30" t="str">
        <f>Допущения!A20</f>
        <v>Свиные полутуши</v>
      </c>
      <c r="B9" s="101">
        <f>'Объемы реализации'!C8*Цены!L8*SUMIF(Сезонность!$B$1:$M$1,MONTH(Выручка!B$3),Сезонность!$B$6:$M$6)/1000</f>
        <v>0</v>
      </c>
      <c r="C9" s="101">
        <f>'Объемы реализации'!D8*Цены!M8*SUMIF(Сезонность!$B$1:$M$1,MONTH(Выручка!C$3),Сезонность!$B$6:$M$6)/1000</f>
        <v>0</v>
      </c>
      <c r="D9" s="101">
        <f>'Объемы реализации'!E8*Цены!N8*SUMIF(Сезонность!$B$1:$M$1,MONTH(Выручка!D$3),Сезонность!$B$6:$M$6)/1000</f>
        <v>0</v>
      </c>
      <c r="E9" s="101">
        <f>'Объемы реализации'!F8*Цены!O8*SUMIF(Сезонность!$B$1:$M$1,MONTH(Выручка!E$3),Сезонность!$B$6:$M$6)/1000</f>
        <v>8080.0000000000018</v>
      </c>
      <c r="F9" s="101">
        <f>'Объемы реализации'!G8*Цены!P8*SUMIF(Сезонность!$B$1:$M$1,MONTH(Выручка!F$3),Сезонность!$B$6:$M$6)/1000</f>
        <v>16968.000000000004</v>
      </c>
      <c r="G9" s="101">
        <f>'Объемы реализации'!H8*Цены!Q8*SUMIF(Сезонность!$B$1:$M$1,MONTH(Выручка!G$3),Сезонность!$B$6:$M$6)/1000</f>
        <v>25452.000000000007</v>
      </c>
      <c r="H9" s="101">
        <f>'Объемы реализации'!I8*Цены!R8*SUMIF(Сезонность!$B$1:$M$1,MONTH(Выручка!H$3),Сезонность!$B$6:$M$6)/1000</f>
        <v>33936.000000000007</v>
      </c>
      <c r="I9" s="101">
        <f>'Объемы реализации'!J8*Цены!S8*SUMIF(Сезонность!$B$1:$M$1,MONTH(Выручка!I$3),Сезонность!$B$6:$M$6)/1000</f>
        <v>42420.000000000015</v>
      </c>
      <c r="J9" s="101">
        <f>'Объемы реализации'!K8*Цены!T8*SUMIF(Сезонность!$B$1:$M$1,MONTH(Выручка!J$3),Сезонность!$B$6:$M$6)/1000</f>
        <v>42420.000000000015</v>
      </c>
      <c r="K9" s="101">
        <f>'Объемы реализации'!L8*Цены!U8*SUMIF(Сезонность!$B$1:$M$1,MONTH(Выручка!K$3),Сезонность!$B$6:$M$6)/1000</f>
        <v>42420.000000000015</v>
      </c>
      <c r="L9" s="101">
        <f>'Объемы реализации'!M8*Цены!V8*SUMIF(Сезонность!$B$1:$M$1,MONTH(Выручка!L$3),Сезонность!$B$6:$M$6)/1000</f>
        <v>42420.000000000015</v>
      </c>
      <c r="M9" s="101">
        <f>'Объемы реализации'!N8*Цены!W8*SUMIF(Сезонность!$B$1:$M$1,MONTH(Выручка!M$3),Сезонность!$B$6:$M$6)/1000</f>
        <v>42420.000000000015</v>
      </c>
      <c r="N9" s="101">
        <f>'Объемы реализации'!O8*Цены!X8*SUMIF(Сезонность!$B$1:$M$1,MONTH(Выручка!N$3),Сезонность!$B$6:$M$6)/1000</f>
        <v>42420.000000000015</v>
      </c>
      <c r="O9" s="101">
        <f>'Объемы реализации'!P8*Цены!Y8*SUMIF(Сезонность!$B$1:$M$1,MONTH(Выручка!O$3),Сезонность!$B$6:$M$6)/1000</f>
        <v>42420.000000000015</v>
      </c>
      <c r="P9" s="101">
        <f>'Объемы реализации'!Q8*Цены!Z8*SUMIF(Сезонность!$B$1:$M$1,MONTH(Выручка!P$3),Сезонность!$B$6:$M$6)/1000</f>
        <v>42420.000000000015</v>
      </c>
      <c r="Q9" s="101">
        <f>'Объемы реализации'!R8*Цены!AA8*SUMIF(Сезонность!$B$1:$M$1,MONTH(Выручка!Q$3),Сезонность!$B$6:$M$6)/1000</f>
        <v>42420.000000000015</v>
      </c>
      <c r="R9" s="101">
        <f>'Объемы реализации'!S8*Цены!AB8*SUMIF(Сезонность!$B$1:$M$1,MONTH(Выручка!R$3),Сезонность!$B$6:$M$6)/1000</f>
        <v>44541.000000000007</v>
      </c>
      <c r="S9" s="101">
        <f>'Объемы реализации'!T8*Цены!AC8*SUMIF(Сезонность!$B$1:$M$1,MONTH(Выручка!S$3),Сезонность!$B$6:$M$6)/1000</f>
        <v>44541.000000000007</v>
      </c>
      <c r="T9" s="101">
        <f>'Объемы реализации'!U8*Цены!AD8*SUMIF(Сезонность!$B$1:$M$1,MONTH(Выручка!T$3),Сезонность!$B$6:$M$6)/1000</f>
        <v>44541.000000000007</v>
      </c>
      <c r="U9" s="101">
        <f>'Объемы реализации'!V8*Цены!AE8*SUMIF(Сезонность!$B$1:$M$1,MONTH(Выручка!U$3),Сезонность!$B$6:$M$6)/1000</f>
        <v>44541.000000000007</v>
      </c>
      <c r="V9" s="101">
        <f>'Объемы реализации'!W8*Цены!AF8*SUMIF(Сезонность!$B$1:$M$1,MONTH(Выручка!V$3),Сезонность!$B$6:$M$6)/1000</f>
        <v>44541.000000000007</v>
      </c>
      <c r="W9" s="101">
        <f>'Объемы реализации'!X8*Цены!AG8*SUMIF(Сезонность!$B$1:$M$1,MONTH(Выручка!W$3),Сезонность!$B$6:$M$6)/1000</f>
        <v>44541.000000000007</v>
      </c>
      <c r="X9" s="101">
        <f>'Объемы реализации'!Y8*Цены!AH8*SUMIF(Сезонность!$B$1:$M$1,MONTH(Выручка!X$3),Сезонность!$B$6:$M$6)/1000</f>
        <v>44541.000000000007</v>
      </c>
      <c r="Y9" s="101">
        <f>'Объемы реализации'!Z8*Цены!AI8*SUMIF(Сезонность!$B$1:$M$1,MONTH(Выручка!Y$3),Сезонность!$B$6:$M$6)/1000</f>
        <v>44541.000000000007</v>
      </c>
      <c r="Z9" s="101">
        <f>'Объемы реализации'!AA8*Цены!AJ8*SUMIF(Сезонность!$B$1:$M$1,MONTH(Выручка!Z$3),Сезонность!$B$6:$M$6)/1000</f>
        <v>44541.000000000007</v>
      </c>
      <c r="AA9" s="101">
        <f>'Объемы реализации'!AB8*Цены!AK8*SUMIF(Сезонность!$B$1:$M$1,MONTH(Выручка!AA$3),Сезонность!$B$6:$M$6)/1000</f>
        <v>44541.000000000007</v>
      </c>
      <c r="AB9" s="101">
        <f>'Объемы реализации'!AC8*Цены!AL8*SUMIF(Сезонность!$B$1:$M$1,MONTH(Выручка!AB$3),Сезонность!$B$6:$M$6)/1000</f>
        <v>44541.000000000007</v>
      </c>
      <c r="AC9" s="101">
        <f>'Объемы реализации'!AD8*Цены!AM8*SUMIF(Сезонность!$B$1:$M$1,MONTH(Выручка!AC$3),Сезонность!$B$6:$M$6)/1000</f>
        <v>44541.000000000007</v>
      </c>
      <c r="AD9" s="101">
        <f>'Объемы реализации'!AE8*Цены!AN8*SUMIF(Сезонность!$B$1:$M$1,MONTH(Выручка!AD$3),Сезонность!$B$6:$M$6)/1000</f>
        <v>46768.050000000025</v>
      </c>
      <c r="AE9" s="101">
        <f>'Объемы реализации'!AF8*Цены!AO8*SUMIF(Сезонность!$B$1:$M$1,MONTH(Выручка!AE$3),Сезонность!$B$6:$M$6)/1000</f>
        <v>46768.050000000025</v>
      </c>
      <c r="AF9" s="101">
        <f>'Объемы реализации'!AG8*Цены!AP8*SUMIF(Сезонность!$B$1:$M$1,MONTH(Выручка!AF$3),Сезонность!$B$6:$M$6)/1000</f>
        <v>46768.050000000025</v>
      </c>
      <c r="AG9" s="101">
        <f>'Объемы реализации'!AH8*Цены!AQ8*SUMIF(Сезонность!$B$1:$M$1,MONTH(Выручка!AG$3),Сезонность!$B$6:$M$6)/1000</f>
        <v>46768.050000000025</v>
      </c>
      <c r="AH9" s="101">
        <f>'Объемы реализации'!AI8*Цены!AR8*SUMIF(Сезонность!$B$1:$M$1,MONTH(Выручка!AH$3),Сезонность!$B$6:$M$6)/1000</f>
        <v>46768.050000000025</v>
      </c>
      <c r="AI9" s="101">
        <f>'Объемы реализации'!AJ8*Цены!AS8*SUMIF(Сезонность!$B$1:$M$1,MONTH(Выручка!AI$3),Сезонность!$B$6:$M$6)/1000</f>
        <v>46768.050000000025</v>
      </c>
      <c r="AJ9" s="101">
        <f>'Объемы реализации'!AK8*Цены!AT8*SUMIF(Сезонность!$B$1:$M$1,MONTH(Выручка!AJ$3),Сезонность!$B$6:$M$6)/1000</f>
        <v>46768.050000000025</v>
      </c>
      <c r="AK9" s="101">
        <f>'Объемы реализации'!AL8*Цены!AU8*SUMIF(Сезонность!$B$1:$M$1,MONTH(Выручка!AK$3),Сезонность!$B$6:$M$6)/1000</f>
        <v>46768.050000000025</v>
      </c>
      <c r="AL9" s="101">
        <f>'Объемы реализации'!AM8*Цены!AV8*SUMIF(Сезонность!$B$1:$M$1,MONTH(Выручка!AL$3),Сезонность!$B$6:$M$6)/1000</f>
        <v>46768.050000000025</v>
      </c>
      <c r="AM9" s="101">
        <f>'Объемы реализации'!AN8*Цены!AW8*SUMIF(Сезонность!$B$1:$M$1,MONTH(Выручка!AM$3),Сезонность!$B$6:$M$6)/1000</f>
        <v>46768.050000000025</v>
      </c>
      <c r="AN9" s="101">
        <f>'Объемы реализации'!AO8*Цены!AX8*SUMIF(Сезонность!$B$1:$M$1,MONTH(Выручка!AN$3),Сезонность!$B$6:$M$6)/1000</f>
        <v>46768.050000000025</v>
      </c>
      <c r="AO9" s="101">
        <f>'Объемы реализации'!AP8*Цены!AY8*SUMIF(Сезонность!$B$1:$M$1,MONTH(Выручка!AO$3),Сезонность!$B$6:$M$6)/1000</f>
        <v>46768.050000000025</v>
      </c>
      <c r="AP9" s="101">
        <f>'Объемы реализации'!AQ8*Цены!AZ8*SUMIF(Сезонность!$B$1:$M$1,MONTH(Выручка!AP$3),Сезонность!$B$6:$M$6)/1000</f>
        <v>49106.452500000021</v>
      </c>
      <c r="AQ9" s="101">
        <f>'Объемы реализации'!AR8*Цены!BA8*SUMIF(Сезонность!$B$1:$M$1,MONTH(Выручка!AQ$3),Сезонность!$B$6:$M$6)/1000</f>
        <v>49106.452500000021</v>
      </c>
      <c r="AR9" s="101">
        <f>'Объемы реализации'!AS8*Цены!BB8*SUMIF(Сезонность!$B$1:$M$1,MONTH(Выручка!AR$3),Сезонность!$B$6:$M$6)/1000</f>
        <v>49106.452500000021</v>
      </c>
      <c r="AS9" s="101">
        <f>'Объемы реализации'!AT8*Цены!BC8*SUMIF(Сезонность!$B$1:$M$1,MONTH(Выручка!AS$3),Сезонность!$B$6:$M$6)/1000</f>
        <v>49106.452500000021</v>
      </c>
      <c r="AT9" s="101">
        <f>'Объемы реализации'!AU8*Цены!BD8*SUMIF(Сезонность!$B$1:$M$1,MONTH(Выручка!AT$3),Сезонность!$B$6:$M$6)/1000</f>
        <v>49106.452500000021</v>
      </c>
      <c r="AU9" s="101">
        <f>'Объемы реализации'!AV8*Цены!BE8*SUMIF(Сезонность!$B$1:$M$1,MONTH(Выручка!AU$3),Сезонность!$B$6:$M$6)/1000</f>
        <v>49106.452500000021</v>
      </c>
      <c r="AV9" s="101">
        <f>'Объемы реализации'!AW8*Цены!BF8*SUMIF(Сезонность!$B$1:$M$1,MONTH(Выручка!AV$3),Сезонность!$B$6:$M$6)/1000</f>
        <v>49106.452500000021</v>
      </c>
      <c r="AW9" s="101">
        <f>'Объемы реализации'!AX8*Цены!BG8*SUMIF(Сезонность!$B$1:$M$1,MONTH(Выручка!AW$3),Сезонность!$B$6:$M$6)/1000</f>
        <v>49106.452500000021</v>
      </c>
      <c r="AX9" s="101">
        <f>'Объемы реализации'!AY8*Цены!BH8*SUMIF(Сезонность!$B$1:$M$1,MONTH(Выручка!AX$3),Сезонность!$B$6:$M$6)/1000</f>
        <v>49106.452500000021</v>
      </c>
      <c r="AY9" s="101">
        <f>'Объемы реализации'!AZ8*Цены!BI8*SUMIF(Сезонность!$B$1:$M$1,MONTH(Выручка!AY$3),Сезонность!$B$6:$M$6)/1000</f>
        <v>49106.452500000021</v>
      </c>
      <c r="AZ9" s="101">
        <f>'Объемы реализации'!BA8*Цены!BJ8*SUMIF(Сезонность!$B$1:$M$1,MONTH(Выручка!AZ$3),Сезонность!$B$6:$M$6)/1000</f>
        <v>49106.452500000021</v>
      </c>
      <c r="BA9" s="101">
        <f>'Объемы реализации'!BB8*Цены!BK8*SUMIF(Сезонность!$B$1:$M$1,MONTH(Выручка!BA$3),Сезонность!$B$6:$M$6)/1000</f>
        <v>49106.452500000021</v>
      </c>
      <c r="BB9" s="101">
        <f>'Объемы реализации'!BC8*Цены!BL8*SUMIF(Сезонность!$B$1:$M$1,MONTH(Выручка!BB$3),Сезонность!$B$6:$M$6)/1000</f>
        <v>51561.775125000022</v>
      </c>
      <c r="BC9" s="101">
        <f>'Объемы реализации'!BD8*Цены!BM8*SUMIF(Сезонность!$B$1:$M$1,MONTH(Выручка!BC$3),Сезонность!$B$6:$M$6)/1000</f>
        <v>51561.775125000022</v>
      </c>
      <c r="BD9" s="101">
        <f>'Объемы реализации'!BE8*Цены!BN8*SUMIF(Сезонность!$B$1:$M$1,MONTH(Выручка!BD$3),Сезонность!$B$6:$M$6)/1000</f>
        <v>51561.775125000022</v>
      </c>
      <c r="BE9" s="101">
        <f>'Объемы реализации'!BF8*Цены!BO8*SUMIF(Сезонность!$B$1:$M$1,MONTH(Выручка!BE$3),Сезонность!$B$6:$M$6)/1000</f>
        <v>51561.775125000022</v>
      </c>
      <c r="BF9" s="101">
        <f>'Объемы реализации'!BG8*Цены!BP8*SUMIF(Сезонность!$B$1:$M$1,MONTH(Выручка!BF$3),Сезонность!$B$6:$M$6)/1000</f>
        <v>51561.775125000022</v>
      </c>
      <c r="BG9" s="101">
        <f>'Объемы реализации'!BH8*Цены!BQ8*SUMIF(Сезонность!$B$1:$M$1,MONTH(Выручка!BG$3),Сезонность!$B$6:$M$6)/1000</f>
        <v>51561.775125000022</v>
      </c>
      <c r="BH9" s="101">
        <f>'Объемы реализации'!BI8*Цены!BR8*SUMIF(Сезонность!$B$1:$M$1,MONTH(Выручка!BH$3),Сезонность!$B$6:$M$6)/1000</f>
        <v>51561.775125000022</v>
      </c>
      <c r="BI9" s="101">
        <f>'Объемы реализации'!BJ8*Цены!BS8*SUMIF(Сезонность!$B$1:$M$1,MONTH(Выручка!BI$3),Сезонность!$B$6:$M$6)/1000</f>
        <v>51561.775125000022</v>
      </c>
      <c r="BK9" s="101">
        <f t="shared" ref="BK9:BP19" si="40">SUMIF($B$2:$BI$2,BK$2,$B9:$BI9)</f>
        <v>8080.0000000000018</v>
      </c>
      <c r="BL9" s="101">
        <f t="shared" si="40"/>
        <v>458136.00000000006</v>
      </c>
      <c r="BM9" s="101">
        <f t="shared" si="40"/>
        <v>534492.00000000012</v>
      </c>
      <c r="BN9" s="101">
        <f t="shared" si="40"/>
        <v>561216.60000000044</v>
      </c>
      <c r="BO9" s="101">
        <f t="shared" si="40"/>
        <v>589277.43000000028</v>
      </c>
      <c r="BP9" s="101">
        <f t="shared" si="40"/>
        <v>412494.20100000023</v>
      </c>
      <c r="BQ9" s="101">
        <f t="shared" ref="BQ9:BQ19" si="41">SUM(BK9:BP9)</f>
        <v>2563696.2310000011</v>
      </c>
      <c r="BR9" s="226">
        <f>BQ9/$BQ$19</f>
        <v>0.16706871596939835</v>
      </c>
    </row>
    <row r="10" spans="1:120">
      <c r="A10" s="30" t="str">
        <f>Допущения!A21</f>
        <v>Говядина четверти</v>
      </c>
      <c r="B10" s="101">
        <f>'Объемы реализации'!C9*Цены!L9*SUMIF(Сезонность!$B$1:$M$1,MONTH(Выручка!B$3),Сезонность!$B$6:$M$6)/1000</f>
        <v>0</v>
      </c>
      <c r="C10" s="101">
        <f>'Объемы реализации'!D9*Цены!M9*SUMIF(Сезонность!$B$1:$M$1,MONTH(Выручка!C$3),Сезонность!$B$6:$M$6)/1000</f>
        <v>0</v>
      </c>
      <c r="D10" s="101">
        <f>'Объемы реализации'!E9*Цены!N9*SUMIF(Сезонность!$B$1:$M$1,MONTH(Выручка!D$3),Сезонность!$B$6:$M$6)/1000</f>
        <v>0</v>
      </c>
      <c r="E10" s="101">
        <f>'Объемы реализации'!F9*Цены!O9*SUMIF(Сезонность!$B$1:$M$1,MONTH(Выручка!E$3),Сезонность!$B$6:$M$6)/1000</f>
        <v>9500</v>
      </c>
      <c r="F10" s="101">
        <f>'Объемы реализации'!G9*Цены!P9*SUMIF(Сезонность!$B$1:$M$1,MONTH(Выручка!F$3),Сезонность!$B$6:$M$6)/1000</f>
        <v>19950.000000000004</v>
      </c>
      <c r="G10" s="101">
        <f>'Объемы реализации'!H9*Цены!Q9*SUMIF(Сезонность!$B$1:$M$1,MONTH(Выручка!G$3),Сезонность!$B$6:$M$6)/1000</f>
        <v>29925.000000000004</v>
      </c>
      <c r="H10" s="101">
        <f>'Объемы реализации'!I9*Цены!R9*SUMIF(Сезонность!$B$1:$M$1,MONTH(Выручка!H$3),Сезонность!$B$6:$M$6)/1000</f>
        <v>39900.000000000007</v>
      </c>
      <c r="I10" s="101">
        <f>'Объемы реализации'!J9*Цены!S9*SUMIF(Сезонность!$B$1:$M$1,MONTH(Выручка!I$3),Сезонность!$B$6:$M$6)/1000</f>
        <v>49875.000000000007</v>
      </c>
      <c r="J10" s="101">
        <f>'Объемы реализации'!K9*Цены!T9*SUMIF(Сезонность!$B$1:$M$1,MONTH(Выручка!J$3),Сезонность!$B$6:$M$6)/1000</f>
        <v>49875.000000000007</v>
      </c>
      <c r="K10" s="101">
        <f>'Объемы реализации'!L9*Цены!U9*SUMIF(Сезонность!$B$1:$M$1,MONTH(Выручка!K$3),Сезонность!$B$6:$M$6)/1000</f>
        <v>49875.000000000007</v>
      </c>
      <c r="L10" s="101">
        <f>'Объемы реализации'!M9*Цены!V9*SUMIF(Сезонность!$B$1:$M$1,MONTH(Выручка!L$3),Сезонность!$B$6:$M$6)/1000</f>
        <v>49875.000000000007</v>
      </c>
      <c r="M10" s="101">
        <f>'Объемы реализации'!N9*Цены!W9*SUMIF(Сезонность!$B$1:$M$1,MONTH(Выручка!M$3),Сезонность!$B$6:$M$6)/1000</f>
        <v>49875.000000000007</v>
      </c>
      <c r="N10" s="101">
        <f>'Объемы реализации'!O9*Цены!X9*SUMIF(Сезонность!$B$1:$M$1,MONTH(Выручка!N$3),Сезонность!$B$6:$M$6)/1000</f>
        <v>49875.000000000007</v>
      </c>
      <c r="O10" s="101">
        <f>'Объемы реализации'!P9*Цены!Y9*SUMIF(Сезонность!$B$1:$M$1,MONTH(Выручка!O$3),Сезонность!$B$6:$M$6)/1000</f>
        <v>49875.000000000007</v>
      </c>
      <c r="P10" s="101">
        <f>'Объемы реализации'!Q9*Цены!Z9*SUMIF(Сезонность!$B$1:$M$1,MONTH(Выручка!P$3),Сезонность!$B$6:$M$6)/1000</f>
        <v>49875.000000000007</v>
      </c>
      <c r="Q10" s="101">
        <f>'Объемы реализации'!R9*Цены!AA9*SUMIF(Сезонность!$B$1:$M$1,MONTH(Выручка!Q$3),Сезонность!$B$6:$M$6)/1000</f>
        <v>49875.000000000007</v>
      </c>
      <c r="R10" s="101">
        <f>'Объемы реализации'!S9*Цены!AB9*SUMIF(Сезонность!$B$1:$M$1,MONTH(Выручка!R$3),Сезонность!$B$6:$M$6)/1000</f>
        <v>52368.750000000007</v>
      </c>
      <c r="S10" s="101">
        <f>'Объемы реализации'!T9*Цены!AC9*SUMIF(Сезонность!$B$1:$M$1,MONTH(Выручка!S$3),Сезонность!$B$6:$M$6)/1000</f>
        <v>52368.750000000007</v>
      </c>
      <c r="T10" s="101">
        <f>'Объемы реализации'!U9*Цены!AD9*SUMIF(Сезонность!$B$1:$M$1,MONTH(Выручка!T$3),Сезонность!$B$6:$M$6)/1000</f>
        <v>52368.750000000007</v>
      </c>
      <c r="U10" s="101">
        <f>'Объемы реализации'!V9*Цены!AE9*SUMIF(Сезонность!$B$1:$M$1,MONTH(Выручка!U$3),Сезонность!$B$6:$M$6)/1000</f>
        <v>52368.750000000007</v>
      </c>
      <c r="V10" s="101">
        <f>'Объемы реализации'!W9*Цены!AF9*SUMIF(Сезонность!$B$1:$M$1,MONTH(Выручка!V$3),Сезонность!$B$6:$M$6)/1000</f>
        <v>52368.750000000007</v>
      </c>
      <c r="W10" s="101">
        <f>'Объемы реализации'!X9*Цены!AG9*SUMIF(Сезонность!$B$1:$M$1,MONTH(Выручка!W$3),Сезонность!$B$6:$M$6)/1000</f>
        <v>52368.750000000007</v>
      </c>
      <c r="X10" s="101">
        <f>'Объемы реализации'!Y9*Цены!AH9*SUMIF(Сезонность!$B$1:$M$1,MONTH(Выручка!X$3),Сезонность!$B$6:$M$6)/1000</f>
        <v>52368.750000000007</v>
      </c>
      <c r="Y10" s="101">
        <f>'Объемы реализации'!Z9*Цены!AI9*SUMIF(Сезонность!$B$1:$M$1,MONTH(Выручка!Y$3),Сезонность!$B$6:$M$6)/1000</f>
        <v>52368.750000000007</v>
      </c>
      <c r="Z10" s="101">
        <f>'Объемы реализации'!AA9*Цены!AJ9*SUMIF(Сезонность!$B$1:$M$1,MONTH(Выручка!Z$3),Сезонность!$B$6:$M$6)/1000</f>
        <v>52368.750000000007</v>
      </c>
      <c r="AA10" s="101">
        <f>'Объемы реализации'!AB9*Цены!AK9*SUMIF(Сезонность!$B$1:$M$1,MONTH(Выручка!AA$3),Сезонность!$B$6:$M$6)/1000</f>
        <v>52368.750000000007</v>
      </c>
      <c r="AB10" s="101">
        <f>'Объемы реализации'!AC9*Цены!AL9*SUMIF(Сезонность!$B$1:$M$1,MONTH(Выручка!AB$3),Сезонность!$B$6:$M$6)/1000</f>
        <v>52368.750000000007</v>
      </c>
      <c r="AC10" s="101">
        <f>'Объемы реализации'!AD9*Цены!AM9*SUMIF(Сезонность!$B$1:$M$1,MONTH(Выручка!AC$3),Сезонность!$B$6:$M$6)/1000</f>
        <v>52368.750000000007</v>
      </c>
      <c r="AD10" s="101">
        <f>'Объемы реализации'!AE9*Цены!AN9*SUMIF(Сезонность!$B$1:$M$1,MONTH(Выручка!AD$3),Сезонность!$B$6:$M$6)/1000</f>
        <v>54987.187500000015</v>
      </c>
      <c r="AE10" s="101">
        <f>'Объемы реализации'!AF9*Цены!AO9*SUMIF(Сезонность!$B$1:$M$1,MONTH(Выручка!AE$3),Сезонность!$B$6:$M$6)/1000</f>
        <v>54987.187500000015</v>
      </c>
      <c r="AF10" s="101">
        <f>'Объемы реализации'!AG9*Цены!AP9*SUMIF(Сезонность!$B$1:$M$1,MONTH(Выручка!AF$3),Сезонность!$B$6:$M$6)/1000</f>
        <v>54987.187500000015</v>
      </c>
      <c r="AG10" s="101">
        <f>'Объемы реализации'!AH9*Цены!AQ9*SUMIF(Сезонность!$B$1:$M$1,MONTH(Выручка!AG$3),Сезонность!$B$6:$M$6)/1000</f>
        <v>54987.187500000015</v>
      </c>
      <c r="AH10" s="101">
        <f>'Объемы реализации'!AI9*Цены!AR9*SUMIF(Сезонность!$B$1:$M$1,MONTH(Выручка!AH$3),Сезонность!$B$6:$M$6)/1000</f>
        <v>54987.187500000015</v>
      </c>
      <c r="AI10" s="101">
        <f>'Объемы реализации'!AJ9*Цены!AS9*SUMIF(Сезонность!$B$1:$M$1,MONTH(Выручка!AI$3),Сезонность!$B$6:$M$6)/1000</f>
        <v>54987.187500000015</v>
      </c>
      <c r="AJ10" s="101">
        <f>'Объемы реализации'!AK9*Цены!AT9*SUMIF(Сезонность!$B$1:$M$1,MONTH(Выручка!AJ$3),Сезонность!$B$6:$M$6)/1000</f>
        <v>54987.187500000015</v>
      </c>
      <c r="AK10" s="101">
        <f>'Объемы реализации'!AL9*Цены!AU9*SUMIF(Сезонность!$B$1:$M$1,MONTH(Выручка!AK$3),Сезонность!$B$6:$M$6)/1000</f>
        <v>54987.187500000015</v>
      </c>
      <c r="AL10" s="101">
        <f>'Объемы реализации'!AM9*Цены!AV9*SUMIF(Сезонность!$B$1:$M$1,MONTH(Выручка!AL$3),Сезонность!$B$6:$M$6)/1000</f>
        <v>54987.187500000015</v>
      </c>
      <c r="AM10" s="101">
        <f>'Объемы реализации'!AN9*Цены!AW9*SUMIF(Сезонность!$B$1:$M$1,MONTH(Выручка!AM$3),Сезонность!$B$6:$M$6)/1000</f>
        <v>54987.187500000015</v>
      </c>
      <c r="AN10" s="101">
        <f>'Объемы реализации'!AO9*Цены!AX9*SUMIF(Сезонность!$B$1:$M$1,MONTH(Выручка!AN$3),Сезонность!$B$6:$M$6)/1000</f>
        <v>54987.187500000015</v>
      </c>
      <c r="AO10" s="101">
        <f>'Объемы реализации'!AP9*Цены!AY9*SUMIF(Сезонность!$B$1:$M$1,MONTH(Выручка!AO$3),Сезонность!$B$6:$M$6)/1000</f>
        <v>54987.187500000015</v>
      </c>
      <c r="AP10" s="101">
        <f>'Объемы реализации'!AQ9*Цены!AZ9*SUMIF(Сезонность!$B$1:$M$1,MONTH(Выручка!AP$3),Сезонность!$B$6:$M$6)/1000</f>
        <v>57736.546875000015</v>
      </c>
      <c r="AQ10" s="101">
        <f>'Объемы реализации'!AR9*Цены!BA9*SUMIF(Сезонность!$B$1:$M$1,MONTH(Выручка!AQ$3),Сезонность!$B$6:$M$6)/1000</f>
        <v>57736.546875000015</v>
      </c>
      <c r="AR10" s="101">
        <f>'Объемы реализации'!AS9*Цены!BB9*SUMIF(Сезонность!$B$1:$M$1,MONTH(Выручка!AR$3),Сезонность!$B$6:$M$6)/1000</f>
        <v>57736.546875000015</v>
      </c>
      <c r="AS10" s="101">
        <f>'Объемы реализации'!AT9*Цены!BC9*SUMIF(Сезонность!$B$1:$M$1,MONTH(Выручка!AS$3),Сезонность!$B$6:$M$6)/1000</f>
        <v>57736.546875000015</v>
      </c>
      <c r="AT10" s="101">
        <f>'Объемы реализации'!AU9*Цены!BD9*SUMIF(Сезонность!$B$1:$M$1,MONTH(Выручка!AT$3),Сезонность!$B$6:$M$6)/1000</f>
        <v>57736.546875000015</v>
      </c>
      <c r="AU10" s="101">
        <f>'Объемы реализации'!AV9*Цены!BE9*SUMIF(Сезонность!$B$1:$M$1,MONTH(Выручка!AU$3),Сезонность!$B$6:$M$6)/1000</f>
        <v>57736.546875000015</v>
      </c>
      <c r="AV10" s="101">
        <f>'Объемы реализации'!AW9*Цены!BF9*SUMIF(Сезонность!$B$1:$M$1,MONTH(Выручка!AV$3),Сезонность!$B$6:$M$6)/1000</f>
        <v>57736.546875000015</v>
      </c>
      <c r="AW10" s="101">
        <f>'Объемы реализации'!AX9*Цены!BG9*SUMIF(Сезонность!$B$1:$M$1,MONTH(Выручка!AW$3),Сезонность!$B$6:$M$6)/1000</f>
        <v>57736.546875000015</v>
      </c>
      <c r="AX10" s="101">
        <f>'Объемы реализации'!AY9*Цены!BH9*SUMIF(Сезонность!$B$1:$M$1,MONTH(Выручка!AX$3),Сезонность!$B$6:$M$6)/1000</f>
        <v>57736.546875000015</v>
      </c>
      <c r="AY10" s="101">
        <f>'Объемы реализации'!AZ9*Цены!BI9*SUMIF(Сезонность!$B$1:$M$1,MONTH(Выручка!AY$3),Сезонность!$B$6:$M$6)/1000</f>
        <v>57736.546875000015</v>
      </c>
      <c r="AZ10" s="101">
        <f>'Объемы реализации'!BA9*Цены!BJ9*SUMIF(Сезонность!$B$1:$M$1,MONTH(Выручка!AZ$3),Сезонность!$B$6:$M$6)/1000</f>
        <v>57736.546875000015</v>
      </c>
      <c r="BA10" s="101">
        <f>'Объемы реализации'!BB9*Цены!BK9*SUMIF(Сезонность!$B$1:$M$1,MONTH(Выручка!BA$3),Сезонность!$B$6:$M$6)/1000</f>
        <v>57736.546875000015</v>
      </c>
      <c r="BB10" s="101">
        <f>'Объемы реализации'!BC9*Цены!BL9*SUMIF(Сезонность!$B$1:$M$1,MONTH(Выручка!BB$3),Сезонность!$B$6:$M$6)/1000</f>
        <v>60623.374218750025</v>
      </c>
      <c r="BC10" s="101">
        <f>'Объемы реализации'!BD9*Цены!BM9*SUMIF(Сезонность!$B$1:$M$1,MONTH(Выручка!BC$3),Сезонность!$B$6:$M$6)/1000</f>
        <v>60623.374218750025</v>
      </c>
      <c r="BD10" s="101">
        <f>'Объемы реализации'!BE9*Цены!BN9*SUMIF(Сезонность!$B$1:$M$1,MONTH(Выручка!BD$3),Сезонность!$B$6:$M$6)/1000</f>
        <v>60623.374218750025</v>
      </c>
      <c r="BE10" s="101">
        <f>'Объемы реализации'!BF9*Цены!BO9*SUMIF(Сезонность!$B$1:$M$1,MONTH(Выручка!BE$3),Сезонность!$B$6:$M$6)/1000</f>
        <v>60623.374218750025</v>
      </c>
      <c r="BF10" s="101">
        <f>'Объемы реализации'!BG9*Цены!BP9*SUMIF(Сезонность!$B$1:$M$1,MONTH(Выручка!BF$3),Сезонность!$B$6:$M$6)/1000</f>
        <v>60623.374218750025</v>
      </c>
      <c r="BG10" s="101">
        <f>'Объемы реализации'!BH9*Цены!BQ9*SUMIF(Сезонность!$B$1:$M$1,MONTH(Выручка!BG$3),Сезонность!$B$6:$M$6)/1000</f>
        <v>60623.374218750025</v>
      </c>
      <c r="BH10" s="101">
        <f>'Объемы реализации'!BI9*Цены!BR9*SUMIF(Сезонность!$B$1:$M$1,MONTH(Выручка!BH$3),Сезонность!$B$6:$M$6)/1000</f>
        <v>60623.374218750025</v>
      </c>
      <c r="BI10" s="101">
        <f>'Объемы реализации'!BJ9*Цены!BS9*SUMIF(Сезонность!$B$1:$M$1,MONTH(Выручка!BI$3),Сезонность!$B$6:$M$6)/1000</f>
        <v>60623.374218750025</v>
      </c>
      <c r="BK10" s="101">
        <f t="shared" si="40"/>
        <v>9500</v>
      </c>
      <c r="BL10" s="101">
        <f t="shared" si="40"/>
        <v>538650.00000000012</v>
      </c>
      <c r="BM10" s="101">
        <f t="shared" si="40"/>
        <v>628425.00000000012</v>
      </c>
      <c r="BN10" s="101">
        <f t="shared" si="40"/>
        <v>659846.25000000012</v>
      </c>
      <c r="BO10" s="101">
        <f t="shared" si="40"/>
        <v>692838.56250000012</v>
      </c>
      <c r="BP10" s="101">
        <f t="shared" si="40"/>
        <v>484986.99375000026</v>
      </c>
      <c r="BQ10" s="101">
        <f t="shared" si="41"/>
        <v>3014246.8062500008</v>
      </c>
      <c r="BR10" s="226">
        <f t="shared" ref="BR10:BR18" si="42">BQ10/$BQ$19</f>
        <v>0.19642980219174308</v>
      </c>
    </row>
    <row r="11" spans="1:120">
      <c r="A11" s="30" t="str">
        <f>Допущения!A22</f>
        <v>Тушки куриные</v>
      </c>
      <c r="B11" s="101">
        <f>'Объемы реализации'!C10*Цены!L10*SUMIF(Сезонность!$B$1:$M$1,MONTH(Выручка!B$3),Сезонность!$B$6:$M$6)/1000</f>
        <v>0</v>
      </c>
      <c r="C11" s="101">
        <f>'Объемы реализации'!D10*Цены!M10*SUMIF(Сезонность!$B$1:$M$1,MONTH(Выручка!C$3),Сезонность!$B$6:$M$6)/1000</f>
        <v>0</v>
      </c>
      <c r="D11" s="101">
        <f>'Объемы реализации'!E10*Цены!N10*SUMIF(Сезонность!$B$1:$M$1,MONTH(Выручка!D$3),Сезонность!$B$6:$M$6)/1000</f>
        <v>0</v>
      </c>
      <c r="E11" s="101">
        <f>'Объемы реализации'!F10*Цены!O10*SUMIF(Сезонность!$B$1:$M$1,MONTH(Выручка!E$3),Сезонность!$B$6:$M$6)/1000</f>
        <v>3800</v>
      </c>
      <c r="F11" s="101">
        <f>'Объемы реализации'!G10*Цены!P10*SUMIF(Сезонность!$B$1:$M$1,MONTH(Выручка!F$3),Сезонность!$B$6:$M$6)/1000</f>
        <v>7980.0000000000009</v>
      </c>
      <c r="G11" s="101">
        <f>'Объемы реализации'!H10*Цены!Q10*SUMIF(Сезонность!$B$1:$M$1,MONTH(Выручка!G$3),Сезонность!$B$6:$M$6)/1000</f>
        <v>11970.000000000002</v>
      </c>
      <c r="H11" s="101">
        <f>'Объемы реализации'!I10*Цены!R10*SUMIF(Сезонность!$B$1:$M$1,MONTH(Выручка!H$3),Сезонность!$B$6:$M$6)/1000</f>
        <v>15960.000000000002</v>
      </c>
      <c r="I11" s="101">
        <f>'Объемы реализации'!J10*Цены!S10*SUMIF(Сезонность!$B$1:$M$1,MONTH(Выручка!I$3),Сезонность!$B$6:$M$6)/1000</f>
        <v>19950.000000000004</v>
      </c>
      <c r="J11" s="101">
        <f>'Объемы реализации'!K10*Цены!T10*SUMIF(Сезонность!$B$1:$M$1,MONTH(Выручка!J$3),Сезонность!$B$6:$M$6)/1000</f>
        <v>19950.000000000004</v>
      </c>
      <c r="K11" s="101">
        <f>'Объемы реализации'!L10*Цены!U10*SUMIF(Сезонность!$B$1:$M$1,MONTH(Выручка!K$3),Сезонность!$B$6:$M$6)/1000</f>
        <v>19950.000000000004</v>
      </c>
      <c r="L11" s="101">
        <f>'Объемы реализации'!M10*Цены!V10*SUMIF(Сезонность!$B$1:$M$1,MONTH(Выручка!L$3),Сезонность!$B$6:$M$6)/1000</f>
        <v>19950.000000000004</v>
      </c>
      <c r="M11" s="101">
        <f>'Объемы реализации'!N10*Цены!W10*SUMIF(Сезонность!$B$1:$M$1,MONTH(Выручка!M$3),Сезонность!$B$6:$M$6)/1000</f>
        <v>19950.000000000004</v>
      </c>
      <c r="N11" s="101">
        <f>'Объемы реализации'!O10*Цены!X10*SUMIF(Сезонность!$B$1:$M$1,MONTH(Выручка!N$3),Сезонность!$B$6:$M$6)/1000</f>
        <v>19950.000000000004</v>
      </c>
      <c r="O11" s="101">
        <f>'Объемы реализации'!P10*Цены!Y10*SUMIF(Сезонность!$B$1:$M$1,MONTH(Выручка!O$3),Сезонность!$B$6:$M$6)/1000</f>
        <v>19950.000000000004</v>
      </c>
      <c r="P11" s="101">
        <f>'Объемы реализации'!Q10*Цены!Z10*SUMIF(Сезонность!$B$1:$M$1,MONTH(Выручка!P$3),Сезонность!$B$6:$M$6)/1000</f>
        <v>19950.000000000004</v>
      </c>
      <c r="Q11" s="101">
        <f>'Объемы реализации'!R10*Цены!AA10*SUMIF(Сезонность!$B$1:$M$1,MONTH(Выручка!Q$3),Сезонность!$B$6:$M$6)/1000</f>
        <v>19950.000000000004</v>
      </c>
      <c r="R11" s="101">
        <f>'Объемы реализации'!S10*Цены!AB10*SUMIF(Сезонность!$B$1:$M$1,MONTH(Выручка!R$3),Сезонность!$B$6:$M$6)/1000</f>
        <v>20947.500000000004</v>
      </c>
      <c r="S11" s="101">
        <f>'Объемы реализации'!T10*Цены!AC10*SUMIF(Сезонность!$B$1:$M$1,MONTH(Выручка!S$3),Сезонность!$B$6:$M$6)/1000</f>
        <v>20947.500000000004</v>
      </c>
      <c r="T11" s="101">
        <f>'Объемы реализации'!U10*Цены!AD10*SUMIF(Сезонность!$B$1:$M$1,MONTH(Выручка!T$3),Сезонность!$B$6:$M$6)/1000</f>
        <v>20947.500000000004</v>
      </c>
      <c r="U11" s="101">
        <f>'Объемы реализации'!V10*Цены!AE10*SUMIF(Сезонность!$B$1:$M$1,MONTH(Выручка!U$3),Сезонность!$B$6:$M$6)/1000</f>
        <v>20947.500000000004</v>
      </c>
      <c r="V11" s="101">
        <f>'Объемы реализации'!W10*Цены!AF10*SUMIF(Сезонность!$B$1:$M$1,MONTH(Выручка!V$3),Сезонность!$B$6:$M$6)/1000</f>
        <v>20947.500000000004</v>
      </c>
      <c r="W11" s="101">
        <f>'Объемы реализации'!X10*Цены!AG10*SUMIF(Сезонность!$B$1:$M$1,MONTH(Выручка!W$3),Сезонность!$B$6:$M$6)/1000</f>
        <v>20947.500000000004</v>
      </c>
      <c r="X11" s="101">
        <f>'Объемы реализации'!Y10*Цены!AH10*SUMIF(Сезонность!$B$1:$M$1,MONTH(Выручка!X$3),Сезонность!$B$6:$M$6)/1000</f>
        <v>20947.500000000004</v>
      </c>
      <c r="Y11" s="101">
        <f>'Объемы реализации'!Z10*Цены!AI10*SUMIF(Сезонность!$B$1:$M$1,MONTH(Выручка!Y$3),Сезонность!$B$6:$M$6)/1000</f>
        <v>20947.500000000004</v>
      </c>
      <c r="Z11" s="101">
        <f>'Объемы реализации'!AA10*Цены!AJ10*SUMIF(Сезонность!$B$1:$M$1,MONTH(Выручка!Z$3),Сезонность!$B$6:$M$6)/1000</f>
        <v>20947.500000000004</v>
      </c>
      <c r="AA11" s="101">
        <f>'Объемы реализации'!AB10*Цены!AK10*SUMIF(Сезонность!$B$1:$M$1,MONTH(Выручка!AA$3),Сезонность!$B$6:$M$6)/1000</f>
        <v>20947.500000000004</v>
      </c>
      <c r="AB11" s="101">
        <f>'Объемы реализации'!AC10*Цены!AL10*SUMIF(Сезонность!$B$1:$M$1,MONTH(Выручка!AB$3),Сезонность!$B$6:$M$6)/1000</f>
        <v>20947.500000000004</v>
      </c>
      <c r="AC11" s="101">
        <f>'Объемы реализации'!AD10*Цены!AM10*SUMIF(Сезонность!$B$1:$M$1,MONTH(Выручка!AC$3),Сезонность!$B$6:$M$6)/1000</f>
        <v>20947.500000000004</v>
      </c>
      <c r="AD11" s="101">
        <f>'Объемы реализации'!AE10*Цены!AN10*SUMIF(Сезонность!$B$1:$M$1,MONTH(Выручка!AD$3),Сезонность!$B$6:$M$6)/1000</f>
        <v>21994.875000000004</v>
      </c>
      <c r="AE11" s="101">
        <f>'Объемы реализации'!AF10*Цены!AO10*SUMIF(Сезонность!$B$1:$M$1,MONTH(Выручка!AE$3),Сезонность!$B$6:$M$6)/1000</f>
        <v>21994.875000000004</v>
      </c>
      <c r="AF11" s="101">
        <f>'Объемы реализации'!AG10*Цены!AP10*SUMIF(Сезонность!$B$1:$M$1,MONTH(Выручка!AF$3),Сезонность!$B$6:$M$6)/1000</f>
        <v>21994.875000000004</v>
      </c>
      <c r="AG11" s="101">
        <f>'Объемы реализации'!AH10*Цены!AQ10*SUMIF(Сезонность!$B$1:$M$1,MONTH(Выручка!AG$3),Сезонность!$B$6:$M$6)/1000</f>
        <v>21994.875000000004</v>
      </c>
      <c r="AH11" s="101">
        <f>'Объемы реализации'!AI10*Цены!AR10*SUMIF(Сезонность!$B$1:$M$1,MONTH(Выручка!AH$3),Сезонность!$B$6:$M$6)/1000</f>
        <v>21994.875000000004</v>
      </c>
      <c r="AI11" s="101">
        <f>'Объемы реализации'!AJ10*Цены!AS10*SUMIF(Сезонность!$B$1:$M$1,MONTH(Выручка!AI$3),Сезонность!$B$6:$M$6)/1000</f>
        <v>21994.875000000004</v>
      </c>
      <c r="AJ11" s="101">
        <f>'Объемы реализации'!AK10*Цены!AT10*SUMIF(Сезонность!$B$1:$M$1,MONTH(Выручка!AJ$3),Сезонность!$B$6:$M$6)/1000</f>
        <v>21994.875000000004</v>
      </c>
      <c r="AK11" s="101">
        <f>'Объемы реализации'!AL10*Цены!AU10*SUMIF(Сезонность!$B$1:$M$1,MONTH(Выручка!AK$3),Сезонность!$B$6:$M$6)/1000</f>
        <v>21994.875000000004</v>
      </c>
      <c r="AL11" s="101">
        <f>'Объемы реализации'!AM10*Цены!AV10*SUMIF(Сезонность!$B$1:$M$1,MONTH(Выручка!AL$3),Сезонность!$B$6:$M$6)/1000</f>
        <v>21994.875000000004</v>
      </c>
      <c r="AM11" s="101">
        <f>'Объемы реализации'!AN10*Цены!AW10*SUMIF(Сезонность!$B$1:$M$1,MONTH(Выручка!AM$3),Сезонность!$B$6:$M$6)/1000</f>
        <v>21994.875000000004</v>
      </c>
      <c r="AN11" s="101">
        <f>'Объемы реализации'!AO10*Цены!AX10*SUMIF(Сезонность!$B$1:$M$1,MONTH(Выручка!AN$3),Сезонность!$B$6:$M$6)/1000</f>
        <v>21994.875000000004</v>
      </c>
      <c r="AO11" s="101">
        <f>'Объемы реализации'!AP10*Цены!AY10*SUMIF(Сезонность!$B$1:$M$1,MONTH(Выручка!AO$3),Сезонность!$B$6:$M$6)/1000</f>
        <v>21994.875000000004</v>
      </c>
      <c r="AP11" s="101">
        <f>'Объемы реализации'!AQ10*Цены!AZ10*SUMIF(Сезонность!$B$1:$M$1,MONTH(Выручка!AP$3),Сезонность!$B$6:$M$6)/1000</f>
        <v>23094.618750000005</v>
      </c>
      <c r="AQ11" s="101">
        <f>'Объемы реализации'!AR10*Цены!BA10*SUMIF(Сезонность!$B$1:$M$1,MONTH(Выручка!AQ$3),Сезонность!$B$6:$M$6)/1000</f>
        <v>23094.618750000005</v>
      </c>
      <c r="AR11" s="101">
        <f>'Объемы реализации'!AS10*Цены!BB10*SUMIF(Сезонность!$B$1:$M$1,MONTH(Выручка!AR$3),Сезонность!$B$6:$M$6)/1000</f>
        <v>23094.618750000005</v>
      </c>
      <c r="AS11" s="101">
        <f>'Объемы реализации'!AT10*Цены!BC10*SUMIF(Сезонность!$B$1:$M$1,MONTH(Выручка!AS$3),Сезонность!$B$6:$M$6)/1000</f>
        <v>23094.618750000005</v>
      </c>
      <c r="AT11" s="101">
        <f>'Объемы реализации'!AU10*Цены!BD10*SUMIF(Сезонность!$B$1:$M$1,MONTH(Выручка!AT$3),Сезонность!$B$6:$M$6)/1000</f>
        <v>23094.618750000005</v>
      </c>
      <c r="AU11" s="101">
        <f>'Объемы реализации'!AV10*Цены!BE10*SUMIF(Сезонность!$B$1:$M$1,MONTH(Выручка!AU$3),Сезонность!$B$6:$M$6)/1000</f>
        <v>23094.618750000005</v>
      </c>
      <c r="AV11" s="101">
        <f>'Объемы реализации'!AW10*Цены!BF10*SUMIF(Сезонность!$B$1:$M$1,MONTH(Выручка!AV$3),Сезонность!$B$6:$M$6)/1000</f>
        <v>23094.618750000005</v>
      </c>
      <c r="AW11" s="101">
        <f>'Объемы реализации'!AX10*Цены!BG10*SUMIF(Сезонность!$B$1:$M$1,MONTH(Выручка!AW$3),Сезонность!$B$6:$M$6)/1000</f>
        <v>23094.618750000005</v>
      </c>
      <c r="AX11" s="101">
        <f>'Объемы реализации'!AY10*Цены!BH10*SUMIF(Сезонность!$B$1:$M$1,MONTH(Выручка!AX$3),Сезонность!$B$6:$M$6)/1000</f>
        <v>23094.618750000005</v>
      </c>
      <c r="AY11" s="101">
        <f>'Объемы реализации'!AZ10*Цены!BI10*SUMIF(Сезонность!$B$1:$M$1,MONTH(Выручка!AY$3),Сезонность!$B$6:$M$6)/1000</f>
        <v>23094.618750000005</v>
      </c>
      <c r="AZ11" s="101">
        <f>'Объемы реализации'!BA10*Цены!BJ10*SUMIF(Сезонность!$B$1:$M$1,MONTH(Выручка!AZ$3),Сезонность!$B$6:$M$6)/1000</f>
        <v>23094.618750000005</v>
      </c>
      <c r="BA11" s="101">
        <f>'Объемы реализации'!BB10*Цены!BK10*SUMIF(Сезонность!$B$1:$M$1,MONTH(Выручка!BA$3),Сезонность!$B$6:$M$6)/1000</f>
        <v>23094.618750000005</v>
      </c>
      <c r="BB11" s="101">
        <f>'Объемы реализации'!BC10*Цены!BL10*SUMIF(Сезонность!$B$1:$M$1,MONTH(Выручка!BB$3),Сезонность!$B$6:$M$6)/1000</f>
        <v>24249.349687500009</v>
      </c>
      <c r="BC11" s="101">
        <f>'Объемы реализации'!BD10*Цены!BM10*SUMIF(Сезонность!$B$1:$M$1,MONTH(Выручка!BC$3),Сезонность!$B$6:$M$6)/1000</f>
        <v>24249.349687500009</v>
      </c>
      <c r="BD11" s="101">
        <f>'Объемы реализации'!BE10*Цены!BN10*SUMIF(Сезонность!$B$1:$M$1,MONTH(Выручка!BD$3),Сезонность!$B$6:$M$6)/1000</f>
        <v>24249.349687500009</v>
      </c>
      <c r="BE11" s="101">
        <f>'Объемы реализации'!BF10*Цены!BO10*SUMIF(Сезонность!$B$1:$M$1,MONTH(Выручка!BE$3),Сезонность!$B$6:$M$6)/1000</f>
        <v>24249.349687500009</v>
      </c>
      <c r="BF11" s="101">
        <f>'Объемы реализации'!BG10*Цены!BP10*SUMIF(Сезонность!$B$1:$M$1,MONTH(Выручка!BF$3),Сезонность!$B$6:$M$6)/1000</f>
        <v>24249.349687500009</v>
      </c>
      <c r="BG11" s="101">
        <f>'Объемы реализации'!BH10*Цены!BQ10*SUMIF(Сезонность!$B$1:$M$1,MONTH(Выручка!BG$3),Сезонность!$B$6:$M$6)/1000</f>
        <v>24249.349687500009</v>
      </c>
      <c r="BH11" s="101">
        <f>'Объемы реализации'!BI10*Цены!BR10*SUMIF(Сезонность!$B$1:$M$1,MONTH(Выручка!BH$3),Сезонность!$B$6:$M$6)/1000</f>
        <v>24249.349687500009</v>
      </c>
      <c r="BI11" s="101">
        <f>'Объемы реализации'!BJ10*Цены!BS10*SUMIF(Сезонность!$B$1:$M$1,MONTH(Выручка!BI$3),Сезонность!$B$6:$M$6)/1000</f>
        <v>24249.349687500009</v>
      </c>
      <c r="BK11" s="101">
        <f t="shared" si="40"/>
        <v>3800</v>
      </c>
      <c r="BL11" s="101">
        <f t="shared" si="40"/>
        <v>215460.00000000003</v>
      </c>
      <c r="BM11" s="101">
        <f t="shared" si="40"/>
        <v>251370.00000000003</v>
      </c>
      <c r="BN11" s="101">
        <f t="shared" si="40"/>
        <v>263938.50000000006</v>
      </c>
      <c r="BO11" s="101">
        <f t="shared" si="40"/>
        <v>277135.42499999999</v>
      </c>
      <c r="BP11" s="101">
        <f t="shared" si="40"/>
        <v>193994.79750000007</v>
      </c>
      <c r="BQ11" s="101">
        <f t="shared" si="41"/>
        <v>1205698.7225000001</v>
      </c>
      <c r="BR11" s="226">
        <f t="shared" si="42"/>
        <v>7.8571920876697218E-2</v>
      </c>
    </row>
    <row r="12" spans="1:120">
      <c r="A12" s="30" t="str">
        <f>Допущения!A23</f>
        <v>Тушки индейки</v>
      </c>
      <c r="B12" s="101">
        <f>'Объемы реализации'!C11*Цены!L11*SUMIF(Сезонность!$B$1:$M$1,MONTH(Выручка!B$3),Сезонность!$B$6:$M$6)/1000</f>
        <v>0</v>
      </c>
      <c r="C12" s="101">
        <f>'Объемы реализации'!D11*Цены!M11*SUMIF(Сезонность!$B$1:$M$1,MONTH(Выручка!C$3),Сезонность!$B$6:$M$6)/1000</f>
        <v>0</v>
      </c>
      <c r="D12" s="101">
        <f>'Объемы реализации'!E11*Цены!N11*SUMIF(Сезонность!$B$1:$M$1,MONTH(Выручка!D$3),Сезонность!$B$6:$M$6)/1000</f>
        <v>0</v>
      </c>
      <c r="E12" s="101">
        <f>'Объемы реализации'!F11*Цены!O11*SUMIF(Сезонность!$B$1:$M$1,MONTH(Выручка!E$3),Сезонность!$B$6:$M$6)/1000</f>
        <v>5000.0000000000009</v>
      </c>
      <c r="F12" s="101">
        <f>'Объемы реализации'!G11*Цены!P11*SUMIF(Сезонность!$B$1:$M$1,MONTH(Выручка!F$3),Сезонность!$B$6:$M$6)/1000</f>
        <v>10500.000000000002</v>
      </c>
      <c r="G12" s="101">
        <f>'Объемы реализации'!H11*Цены!Q11*SUMIF(Сезонность!$B$1:$M$1,MONTH(Выручка!G$3),Сезонность!$B$6:$M$6)/1000</f>
        <v>15750.000000000004</v>
      </c>
      <c r="H12" s="101">
        <f>'Объемы реализации'!I11*Цены!R11*SUMIF(Сезонность!$B$1:$M$1,MONTH(Выручка!H$3),Сезонность!$B$6:$M$6)/1000</f>
        <v>21000.000000000004</v>
      </c>
      <c r="I12" s="101">
        <f>'Объемы реализации'!J11*Цены!S11*SUMIF(Сезонность!$B$1:$M$1,MONTH(Выручка!I$3),Сезонность!$B$6:$M$6)/1000</f>
        <v>26250.000000000007</v>
      </c>
      <c r="J12" s="101">
        <f>'Объемы реализации'!K11*Цены!T11*SUMIF(Сезонность!$B$1:$M$1,MONTH(Выручка!J$3),Сезонность!$B$6:$M$6)/1000</f>
        <v>26250.000000000007</v>
      </c>
      <c r="K12" s="101">
        <f>'Объемы реализации'!L11*Цены!U11*SUMIF(Сезонность!$B$1:$M$1,MONTH(Выручка!K$3),Сезонность!$B$6:$M$6)/1000</f>
        <v>26250.000000000007</v>
      </c>
      <c r="L12" s="101">
        <f>'Объемы реализации'!M11*Цены!V11*SUMIF(Сезонность!$B$1:$M$1,MONTH(Выручка!L$3),Сезонность!$B$6:$M$6)/1000</f>
        <v>26250.000000000007</v>
      </c>
      <c r="M12" s="101">
        <f>'Объемы реализации'!N11*Цены!W11*SUMIF(Сезонность!$B$1:$M$1,MONTH(Выручка!M$3),Сезонность!$B$6:$M$6)/1000</f>
        <v>26250.000000000007</v>
      </c>
      <c r="N12" s="101">
        <f>'Объемы реализации'!O11*Цены!X11*SUMIF(Сезонность!$B$1:$M$1,MONTH(Выручка!N$3),Сезонность!$B$6:$M$6)/1000</f>
        <v>26250.000000000007</v>
      </c>
      <c r="O12" s="101">
        <f>'Объемы реализации'!P11*Цены!Y11*SUMIF(Сезонность!$B$1:$M$1,MONTH(Выручка!O$3),Сезонность!$B$6:$M$6)/1000</f>
        <v>26250.000000000007</v>
      </c>
      <c r="P12" s="101">
        <f>'Объемы реализации'!Q11*Цены!Z11*SUMIF(Сезонность!$B$1:$M$1,MONTH(Выручка!P$3),Сезонность!$B$6:$M$6)/1000</f>
        <v>26250.000000000007</v>
      </c>
      <c r="Q12" s="101">
        <f>'Объемы реализации'!R11*Цены!AA11*SUMIF(Сезонность!$B$1:$M$1,MONTH(Выручка!Q$3),Сезонность!$B$6:$M$6)/1000</f>
        <v>26250.000000000007</v>
      </c>
      <c r="R12" s="101">
        <f>'Объемы реализации'!S11*Цены!AB11*SUMIF(Сезонность!$B$1:$M$1,MONTH(Выручка!R$3),Сезонность!$B$6:$M$6)/1000</f>
        <v>27562.500000000007</v>
      </c>
      <c r="S12" s="101">
        <f>'Объемы реализации'!T11*Цены!AC11*SUMIF(Сезонность!$B$1:$M$1,MONTH(Выручка!S$3),Сезонность!$B$6:$M$6)/1000</f>
        <v>27562.500000000007</v>
      </c>
      <c r="T12" s="101">
        <f>'Объемы реализации'!U11*Цены!AD11*SUMIF(Сезонность!$B$1:$M$1,MONTH(Выручка!T$3),Сезонность!$B$6:$M$6)/1000</f>
        <v>27562.500000000007</v>
      </c>
      <c r="U12" s="101">
        <f>'Объемы реализации'!V11*Цены!AE11*SUMIF(Сезонность!$B$1:$M$1,MONTH(Выручка!U$3),Сезонность!$B$6:$M$6)/1000</f>
        <v>27562.500000000007</v>
      </c>
      <c r="V12" s="101">
        <f>'Объемы реализации'!W11*Цены!AF11*SUMIF(Сезонность!$B$1:$M$1,MONTH(Выручка!V$3),Сезонность!$B$6:$M$6)/1000</f>
        <v>27562.500000000007</v>
      </c>
      <c r="W12" s="101">
        <f>'Объемы реализации'!X11*Цены!AG11*SUMIF(Сезонность!$B$1:$M$1,MONTH(Выручка!W$3),Сезонность!$B$6:$M$6)/1000</f>
        <v>27562.500000000007</v>
      </c>
      <c r="X12" s="101">
        <f>'Объемы реализации'!Y11*Цены!AH11*SUMIF(Сезонность!$B$1:$M$1,MONTH(Выручка!X$3),Сезонность!$B$6:$M$6)/1000</f>
        <v>27562.500000000007</v>
      </c>
      <c r="Y12" s="101">
        <f>'Объемы реализации'!Z11*Цены!AI11*SUMIF(Сезонность!$B$1:$M$1,MONTH(Выручка!Y$3),Сезонность!$B$6:$M$6)/1000</f>
        <v>27562.500000000007</v>
      </c>
      <c r="Z12" s="101">
        <f>'Объемы реализации'!AA11*Цены!AJ11*SUMIF(Сезонность!$B$1:$M$1,MONTH(Выручка!Z$3),Сезонность!$B$6:$M$6)/1000</f>
        <v>27562.500000000007</v>
      </c>
      <c r="AA12" s="101">
        <f>'Объемы реализации'!AB11*Цены!AK11*SUMIF(Сезонность!$B$1:$M$1,MONTH(Выручка!AA$3),Сезонность!$B$6:$M$6)/1000</f>
        <v>27562.500000000007</v>
      </c>
      <c r="AB12" s="101">
        <f>'Объемы реализации'!AC11*Цены!AL11*SUMIF(Сезонность!$B$1:$M$1,MONTH(Выручка!AB$3),Сезонность!$B$6:$M$6)/1000</f>
        <v>27562.500000000007</v>
      </c>
      <c r="AC12" s="101">
        <f>'Объемы реализации'!AD11*Цены!AM11*SUMIF(Сезонность!$B$1:$M$1,MONTH(Выручка!AC$3),Сезонность!$B$6:$M$6)/1000</f>
        <v>27562.500000000007</v>
      </c>
      <c r="AD12" s="101">
        <f>'Объемы реализации'!AE11*Цены!AN11*SUMIF(Сезонность!$B$1:$M$1,MONTH(Выручка!AD$3),Сезонность!$B$6:$M$6)/1000</f>
        <v>28940.625000000007</v>
      </c>
      <c r="AE12" s="101">
        <f>'Объемы реализации'!AF11*Цены!AO11*SUMIF(Сезонность!$B$1:$M$1,MONTH(Выручка!AE$3),Сезонность!$B$6:$M$6)/1000</f>
        <v>28940.625000000007</v>
      </c>
      <c r="AF12" s="101">
        <f>'Объемы реализации'!AG11*Цены!AP11*SUMIF(Сезонность!$B$1:$M$1,MONTH(Выручка!AF$3),Сезонность!$B$6:$M$6)/1000</f>
        <v>28940.625000000007</v>
      </c>
      <c r="AG12" s="101">
        <f>'Объемы реализации'!AH11*Цены!AQ11*SUMIF(Сезонность!$B$1:$M$1,MONTH(Выручка!AG$3),Сезонность!$B$6:$M$6)/1000</f>
        <v>28940.625000000007</v>
      </c>
      <c r="AH12" s="101">
        <f>'Объемы реализации'!AI11*Цены!AR11*SUMIF(Сезонность!$B$1:$M$1,MONTH(Выручка!AH$3),Сезонность!$B$6:$M$6)/1000</f>
        <v>28940.625000000007</v>
      </c>
      <c r="AI12" s="101">
        <f>'Объемы реализации'!AJ11*Цены!AS11*SUMIF(Сезонность!$B$1:$M$1,MONTH(Выручка!AI$3),Сезонность!$B$6:$M$6)/1000</f>
        <v>28940.625000000007</v>
      </c>
      <c r="AJ12" s="101">
        <f>'Объемы реализации'!AK11*Цены!AT11*SUMIF(Сезонность!$B$1:$M$1,MONTH(Выручка!AJ$3),Сезонность!$B$6:$M$6)/1000</f>
        <v>28940.625000000007</v>
      </c>
      <c r="AK12" s="101">
        <f>'Объемы реализации'!AL11*Цены!AU11*SUMIF(Сезонность!$B$1:$M$1,MONTH(Выручка!AK$3),Сезонность!$B$6:$M$6)/1000</f>
        <v>28940.625000000007</v>
      </c>
      <c r="AL12" s="101">
        <f>'Объемы реализации'!AM11*Цены!AV11*SUMIF(Сезонность!$B$1:$M$1,MONTH(Выручка!AL$3),Сезонность!$B$6:$M$6)/1000</f>
        <v>28940.625000000007</v>
      </c>
      <c r="AM12" s="101">
        <f>'Объемы реализации'!AN11*Цены!AW11*SUMIF(Сезонность!$B$1:$M$1,MONTH(Выручка!AM$3),Сезонность!$B$6:$M$6)/1000</f>
        <v>28940.625000000007</v>
      </c>
      <c r="AN12" s="101">
        <f>'Объемы реализации'!AO11*Цены!AX11*SUMIF(Сезонность!$B$1:$M$1,MONTH(Выручка!AN$3),Сезонность!$B$6:$M$6)/1000</f>
        <v>28940.625000000007</v>
      </c>
      <c r="AO12" s="101">
        <f>'Объемы реализации'!AP11*Цены!AY11*SUMIF(Сезонность!$B$1:$M$1,MONTH(Выручка!AO$3),Сезонность!$B$6:$M$6)/1000</f>
        <v>28940.625000000007</v>
      </c>
      <c r="AP12" s="101">
        <f>'Объемы реализации'!AQ11*Цены!AZ11*SUMIF(Сезонность!$B$1:$M$1,MONTH(Выручка!AP$3),Сезонность!$B$6:$M$6)/1000</f>
        <v>30387.656250000011</v>
      </c>
      <c r="AQ12" s="101">
        <f>'Объемы реализации'!AR11*Цены!BA11*SUMIF(Сезонность!$B$1:$M$1,MONTH(Выручка!AQ$3),Сезонность!$B$6:$M$6)/1000</f>
        <v>30387.656250000011</v>
      </c>
      <c r="AR12" s="101">
        <f>'Объемы реализации'!AS11*Цены!BB11*SUMIF(Сезонность!$B$1:$M$1,MONTH(Выручка!AR$3),Сезонность!$B$6:$M$6)/1000</f>
        <v>30387.656250000011</v>
      </c>
      <c r="AS12" s="101">
        <f>'Объемы реализации'!AT11*Цены!BC11*SUMIF(Сезонность!$B$1:$M$1,MONTH(Выручка!AS$3),Сезонность!$B$6:$M$6)/1000</f>
        <v>30387.656250000011</v>
      </c>
      <c r="AT12" s="101">
        <f>'Объемы реализации'!AU11*Цены!BD11*SUMIF(Сезонность!$B$1:$M$1,MONTH(Выручка!AT$3),Сезонность!$B$6:$M$6)/1000</f>
        <v>30387.656250000011</v>
      </c>
      <c r="AU12" s="101">
        <f>'Объемы реализации'!AV11*Цены!BE11*SUMIF(Сезонность!$B$1:$M$1,MONTH(Выручка!AU$3),Сезонность!$B$6:$M$6)/1000</f>
        <v>30387.656250000011</v>
      </c>
      <c r="AV12" s="101">
        <f>'Объемы реализации'!AW11*Цены!BF11*SUMIF(Сезонность!$B$1:$M$1,MONTH(Выручка!AV$3),Сезонность!$B$6:$M$6)/1000</f>
        <v>30387.656250000011</v>
      </c>
      <c r="AW12" s="101">
        <f>'Объемы реализации'!AX11*Цены!BG11*SUMIF(Сезонность!$B$1:$M$1,MONTH(Выручка!AW$3),Сезонность!$B$6:$M$6)/1000</f>
        <v>30387.656250000011</v>
      </c>
      <c r="AX12" s="101">
        <f>'Объемы реализации'!AY11*Цены!BH11*SUMIF(Сезонность!$B$1:$M$1,MONTH(Выручка!AX$3),Сезонность!$B$6:$M$6)/1000</f>
        <v>30387.656250000011</v>
      </c>
      <c r="AY12" s="101">
        <f>'Объемы реализации'!AZ11*Цены!BI11*SUMIF(Сезонность!$B$1:$M$1,MONTH(Выручка!AY$3),Сезонность!$B$6:$M$6)/1000</f>
        <v>30387.656250000011</v>
      </c>
      <c r="AZ12" s="101">
        <f>'Объемы реализации'!BA11*Цены!BJ11*SUMIF(Сезонность!$B$1:$M$1,MONTH(Выручка!AZ$3),Сезонность!$B$6:$M$6)/1000</f>
        <v>30387.656250000011</v>
      </c>
      <c r="BA12" s="101">
        <f>'Объемы реализации'!BB11*Цены!BK11*SUMIF(Сезонность!$B$1:$M$1,MONTH(Выручка!BA$3),Сезонность!$B$6:$M$6)/1000</f>
        <v>30387.656250000011</v>
      </c>
      <c r="BB12" s="101">
        <f>'Объемы реализации'!BC11*Цены!BL11*SUMIF(Сезонность!$B$1:$M$1,MONTH(Выручка!BB$3),Сезонность!$B$6:$M$6)/1000</f>
        <v>31907.039062500015</v>
      </c>
      <c r="BC12" s="101">
        <f>'Объемы реализации'!BD11*Цены!BM11*SUMIF(Сезонность!$B$1:$M$1,MONTH(Выручка!BC$3),Сезонность!$B$6:$M$6)/1000</f>
        <v>31907.039062500015</v>
      </c>
      <c r="BD12" s="101">
        <f>'Объемы реализации'!BE11*Цены!BN11*SUMIF(Сезонность!$B$1:$M$1,MONTH(Выручка!BD$3),Сезонность!$B$6:$M$6)/1000</f>
        <v>31907.039062500015</v>
      </c>
      <c r="BE12" s="101">
        <f>'Объемы реализации'!BF11*Цены!BO11*SUMIF(Сезонность!$B$1:$M$1,MONTH(Выручка!BE$3),Сезонность!$B$6:$M$6)/1000</f>
        <v>31907.039062500015</v>
      </c>
      <c r="BF12" s="101">
        <f>'Объемы реализации'!BG11*Цены!BP11*SUMIF(Сезонность!$B$1:$M$1,MONTH(Выручка!BF$3),Сезонность!$B$6:$M$6)/1000</f>
        <v>31907.039062500015</v>
      </c>
      <c r="BG12" s="101">
        <f>'Объемы реализации'!BH11*Цены!BQ11*SUMIF(Сезонность!$B$1:$M$1,MONTH(Выручка!BG$3),Сезонность!$B$6:$M$6)/1000</f>
        <v>31907.039062500015</v>
      </c>
      <c r="BH12" s="101">
        <f>'Объемы реализации'!BI11*Цены!BR11*SUMIF(Сезонность!$B$1:$M$1,MONTH(Выручка!BH$3),Сезонность!$B$6:$M$6)/1000</f>
        <v>31907.039062500015</v>
      </c>
      <c r="BI12" s="101">
        <f>'Объемы реализации'!BJ11*Цены!BS11*SUMIF(Сезонность!$B$1:$M$1,MONTH(Выручка!BI$3),Сезонность!$B$6:$M$6)/1000</f>
        <v>31907.039062500015</v>
      </c>
      <c r="BK12" s="101">
        <f t="shared" si="40"/>
        <v>5000.0000000000009</v>
      </c>
      <c r="BL12" s="101">
        <f t="shared" si="40"/>
        <v>283500.00000000006</v>
      </c>
      <c r="BM12" s="101">
        <f t="shared" si="40"/>
        <v>330750.00000000006</v>
      </c>
      <c r="BN12" s="101">
        <f t="shared" si="40"/>
        <v>347287.50000000006</v>
      </c>
      <c r="BO12" s="101">
        <f t="shared" si="40"/>
        <v>364651.87500000006</v>
      </c>
      <c r="BP12" s="101">
        <f t="shared" si="40"/>
        <v>255256.31250000006</v>
      </c>
      <c r="BQ12" s="101">
        <f t="shared" si="41"/>
        <v>1586445.6875000002</v>
      </c>
      <c r="BR12" s="226">
        <f t="shared" si="42"/>
        <v>0.10338410641670687</v>
      </c>
    </row>
    <row r="13" spans="1:120">
      <c r="A13" s="30" t="str">
        <f>Допущения!A24</f>
        <v>Котлеты замороженные</v>
      </c>
      <c r="B13" s="101">
        <f>'Объемы реализации'!C12*Цены!L12*SUMIF(Сезонность!$B$1:$M$1,MONTH(Выручка!B$3),Сезонность!$B$6:$M$6)/1000</f>
        <v>0</v>
      </c>
      <c r="C13" s="101">
        <f>'Объемы реализации'!D12*Цены!M12*SUMIF(Сезонность!$B$1:$M$1,MONTH(Выручка!C$3),Сезонность!$B$6:$M$6)/1000</f>
        <v>0</v>
      </c>
      <c r="D13" s="101">
        <f>'Объемы реализации'!E12*Цены!N12*SUMIF(Сезонность!$B$1:$M$1,MONTH(Выручка!D$3),Сезонность!$B$6:$M$6)/1000</f>
        <v>0</v>
      </c>
      <c r="E13" s="101">
        <f>'Объемы реализации'!F12*Цены!O12*SUMIF(Сезонность!$B$1:$M$1,MONTH(Выручка!E$3),Сезонность!$B$6:$M$6)/1000</f>
        <v>5250</v>
      </c>
      <c r="F13" s="101">
        <f>'Объемы реализации'!G12*Цены!P12*SUMIF(Сезонность!$B$1:$M$1,MONTH(Выручка!F$3),Сезонность!$B$6:$M$6)/1000</f>
        <v>11025</v>
      </c>
      <c r="G13" s="101">
        <f>'Объемы реализации'!H12*Цены!Q12*SUMIF(Сезонность!$B$1:$M$1,MONTH(Выручка!G$3),Сезонность!$B$6:$M$6)/1000</f>
        <v>16537.5</v>
      </c>
      <c r="H13" s="101">
        <f>'Объемы реализации'!I12*Цены!R12*SUMIF(Сезонность!$B$1:$M$1,MONTH(Выручка!H$3),Сезонность!$B$6:$M$6)/1000</f>
        <v>22050</v>
      </c>
      <c r="I13" s="101">
        <f>'Объемы реализации'!J12*Цены!S12*SUMIF(Сезонность!$B$1:$M$1,MONTH(Выручка!I$3),Сезонность!$B$6:$M$6)/1000</f>
        <v>27562.5</v>
      </c>
      <c r="J13" s="101">
        <f>'Объемы реализации'!K12*Цены!T12*SUMIF(Сезонность!$B$1:$M$1,MONTH(Выручка!J$3),Сезонность!$B$6:$M$6)/1000</f>
        <v>27562.5</v>
      </c>
      <c r="K13" s="101">
        <f>'Объемы реализации'!L12*Цены!U12*SUMIF(Сезонность!$B$1:$M$1,MONTH(Выручка!K$3),Сезонность!$B$6:$M$6)/1000</f>
        <v>27562.5</v>
      </c>
      <c r="L13" s="101">
        <f>'Объемы реализации'!M12*Цены!V12*SUMIF(Сезонность!$B$1:$M$1,MONTH(Выручка!L$3),Сезонность!$B$6:$M$6)/1000</f>
        <v>27562.5</v>
      </c>
      <c r="M13" s="101">
        <f>'Объемы реализации'!N12*Цены!W12*SUMIF(Сезонность!$B$1:$M$1,MONTH(Выручка!M$3),Сезонность!$B$6:$M$6)/1000</f>
        <v>27562.5</v>
      </c>
      <c r="N13" s="101">
        <f>'Объемы реализации'!O12*Цены!X12*SUMIF(Сезонность!$B$1:$M$1,MONTH(Выручка!N$3),Сезонность!$B$6:$M$6)/1000</f>
        <v>27562.5</v>
      </c>
      <c r="O13" s="101">
        <f>'Объемы реализации'!P12*Цены!Y12*SUMIF(Сезонность!$B$1:$M$1,MONTH(Выручка!O$3),Сезонность!$B$6:$M$6)/1000</f>
        <v>27562.5</v>
      </c>
      <c r="P13" s="101">
        <f>'Объемы реализации'!Q12*Цены!Z12*SUMIF(Сезонность!$B$1:$M$1,MONTH(Выручка!P$3),Сезонность!$B$6:$M$6)/1000</f>
        <v>27562.5</v>
      </c>
      <c r="Q13" s="101">
        <f>'Объемы реализации'!R12*Цены!AA12*SUMIF(Сезонность!$B$1:$M$1,MONTH(Выручка!Q$3),Сезонность!$B$6:$M$6)/1000</f>
        <v>27562.5</v>
      </c>
      <c r="R13" s="101">
        <f>'Объемы реализации'!S12*Цены!AB12*SUMIF(Сезонность!$B$1:$M$1,MONTH(Выручка!R$3),Сезонность!$B$6:$M$6)/1000</f>
        <v>28940.625</v>
      </c>
      <c r="S13" s="101">
        <f>'Объемы реализации'!T12*Цены!AC12*SUMIF(Сезонность!$B$1:$M$1,MONTH(Выручка!S$3),Сезонность!$B$6:$M$6)/1000</f>
        <v>28940.625</v>
      </c>
      <c r="T13" s="101">
        <f>'Объемы реализации'!U12*Цены!AD12*SUMIF(Сезонность!$B$1:$M$1,MONTH(Выручка!T$3),Сезонность!$B$6:$M$6)/1000</f>
        <v>28940.625</v>
      </c>
      <c r="U13" s="101">
        <f>'Объемы реализации'!V12*Цены!AE12*SUMIF(Сезонность!$B$1:$M$1,MONTH(Выручка!U$3),Сезонность!$B$6:$M$6)/1000</f>
        <v>28940.625</v>
      </c>
      <c r="V13" s="101">
        <f>'Объемы реализации'!W12*Цены!AF12*SUMIF(Сезонность!$B$1:$M$1,MONTH(Выручка!V$3),Сезонность!$B$6:$M$6)/1000</f>
        <v>28940.625</v>
      </c>
      <c r="W13" s="101">
        <f>'Объемы реализации'!X12*Цены!AG12*SUMIF(Сезонность!$B$1:$M$1,MONTH(Выручка!W$3),Сезонность!$B$6:$M$6)/1000</f>
        <v>28940.625</v>
      </c>
      <c r="X13" s="101">
        <f>'Объемы реализации'!Y12*Цены!AH12*SUMIF(Сезонность!$B$1:$M$1,MONTH(Выручка!X$3),Сезонность!$B$6:$M$6)/1000</f>
        <v>28940.625</v>
      </c>
      <c r="Y13" s="101">
        <f>'Объемы реализации'!Z12*Цены!AI12*SUMIF(Сезонность!$B$1:$M$1,MONTH(Выручка!Y$3),Сезонность!$B$6:$M$6)/1000</f>
        <v>28940.625</v>
      </c>
      <c r="Z13" s="101">
        <f>'Объемы реализации'!AA12*Цены!AJ12*SUMIF(Сезонность!$B$1:$M$1,MONTH(Выручка!Z$3),Сезонность!$B$6:$M$6)/1000</f>
        <v>28940.625</v>
      </c>
      <c r="AA13" s="101">
        <f>'Объемы реализации'!AB12*Цены!AK12*SUMIF(Сезонность!$B$1:$M$1,MONTH(Выручка!AA$3),Сезонность!$B$6:$M$6)/1000</f>
        <v>28940.625</v>
      </c>
      <c r="AB13" s="101">
        <f>'Объемы реализации'!AC12*Цены!AL12*SUMIF(Сезонность!$B$1:$M$1,MONTH(Выручка!AB$3),Сезонность!$B$6:$M$6)/1000</f>
        <v>28940.625</v>
      </c>
      <c r="AC13" s="101">
        <f>'Объемы реализации'!AD12*Цены!AM12*SUMIF(Сезонность!$B$1:$M$1,MONTH(Выручка!AC$3),Сезонность!$B$6:$M$6)/1000</f>
        <v>28940.625</v>
      </c>
      <c r="AD13" s="101">
        <f>'Объемы реализации'!AE12*Цены!AN12*SUMIF(Сезонность!$B$1:$M$1,MONTH(Выручка!AD$3),Сезонность!$B$6:$M$6)/1000</f>
        <v>30387.656250000007</v>
      </c>
      <c r="AE13" s="101">
        <f>'Объемы реализации'!AF12*Цены!AO12*SUMIF(Сезонность!$B$1:$M$1,MONTH(Выручка!AE$3),Сезонность!$B$6:$M$6)/1000</f>
        <v>30387.656250000007</v>
      </c>
      <c r="AF13" s="101">
        <f>'Объемы реализации'!AG12*Цены!AP12*SUMIF(Сезонность!$B$1:$M$1,MONTH(Выручка!AF$3),Сезонность!$B$6:$M$6)/1000</f>
        <v>30387.656250000007</v>
      </c>
      <c r="AG13" s="101">
        <f>'Объемы реализации'!AH12*Цены!AQ12*SUMIF(Сезонность!$B$1:$M$1,MONTH(Выручка!AG$3),Сезонность!$B$6:$M$6)/1000</f>
        <v>30387.656250000007</v>
      </c>
      <c r="AH13" s="101">
        <f>'Объемы реализации'!AI12*Цены!AR12*SUMIF(Сезонность!$B$1:$M$1,MONTH(Выручка!AH$3),Сезонность!$B$6:$M$6)/1000</f>
        <v>30387.656250000007</v>
      </c>
      <c r="AI13" s="101">
        <f>'Объемы реализации'!AJ12*Цены!AS12*SUMIF(Сезонность!$B$1:$M$1,MONTH(Выручка!AI$3),Сезонность!$B$6:$M$6)/1000</f>
        <v>30387.656250000007</v>
      </c>
      <c r="AJ13" s="101">
        <f>'Объемы реализации'!AK12*Цены!AT12*SUMIF(Сезонность!$B$1:$M$1,MONTH(Выручка!AJ$3),Сезонность!$B$6:$M$6)/1000</f>
        <v>30387.656250000007</v>
      </c>
      <c r="AK13" s="101">
        <f>'Объемы реализации'!AL12*Цены!AU12*SUMIF(Сезонность!$B$1:$M$1,MONTH(Выручка!AK$3),Сезонность!$B$6:$M$6)/1000</f>
        <v>30387.656250000007</v>
      </c>
      <c r="AL13" s="101">
        <f>'Объемы реализации'!AM12*Цены!AV12*SUMIF(Сезонность!$B$1:$M$1,MONTH(Выручка!AL$3),Сезонность!$B$6:$M$6)/1000</f>
        <v>30387.656250000007</v>
      </c>
      <c r="AM13" s="101">
        <f>'Объемы реализации'!AN12*Цены!AW12*SUMIF(Сезонность!$B$1:$M$1,MONTH(Выручка!AM$3),Сезонность!$B$6:$M$6)/1000</f>
        <v>30387.656250000007</v>
      </c>
      <c r="AN13" s="101">
        <f>'Объемы реализации'!AO12*Цены!AX12*SUMIF(Сезонность!$B$1:$M$1,MONTH(Выручка!AN$3),Сезонность!$B$6:$M$6)/1000</f>
        <v>30387.656250000007</v>
      </c>
      <c r="AO13" s="101">
        <f>'Объемы реализации'!AP12*Цены!AY12*SUMIF(Сезонность!$B$1:$M$1,MONTH(Выручка!AO$3),Сезонность!$B$6:$M$6)/1000</f>
        <v>30387.656250000007</v>
      </c>
      <c r="AP13" s="101">
        <f>'Объемы реализации'!AQ12*Цены!AZ12*SUMIF(Сезонность!$B$1:$M$1,MONTH(Выручка!AP$3),Сезонность!$B$6:$M$6)/1000</f>
        <v>31907.039062500004</v>
      </c>
      <c r="AQ13" s="101">
        <f>'Объемы реализации'!AR12*Цены!BA12*SUMIF(Сезонность!$B$1:$M$1,MONTH(Выручка!AQ$3),Сезонность!$B$6:$M$6)/1000</f>
        <v>31907.039062500004</v>
      </c>
      <c r="AR13" s="101">
        <f>'Объемы реализации'!AS12*Цены!BB12*SUMIF(Сезонность!$B$1:$M$1,MONTH(Выручка!AR$3),Сезонность!$B$6:$M$6)/1000</f>
        <v>31907.039062500004</v>
      </c>
      <c r="AS13" s="101">
        <f>'Объемы реализации'!AT12*Цены!BC12*SUMIF(Сезонность!$B$1:$M$1,MONTH(Выручка!AS$3),Сезонность!$B$6:$M$6)/1000</f>
        <v>31907.039062500004</v>
      </c>
      <c r="AT13" s="101">
        <f>'Объемы реализации'!AU12*Цены!BD12*SUMIF(Сезонность!$B$1:$M$1,MONTH(Выручка!AT$3),Сезонность!$B$6:$M$6)/1000</f>
        <v>31907.039062500004</v>
      </c>
      <c r="AU13" s="101">
        <f>'Объемы реализации'!AV12*Цены!BE12*SUMIF(Сезонность!$B$1:$M$1,MONTH(Выручка!AU$3),Сезонность!$B$6:$M$6)/1000</f>
        <v>31907.039062500004</v>
      </c>
      <c r="AV13" s="101">
        <f>'Объемы реализации'!AW12*Цены!BF12*SUMIF(Сезонность!$B$1:$M$1,MONTH(Выручка!AV$3),Сезонность!$B$6:$M$6)/1000</f>
        <v>31907.039062500004</v>
      </c>
      <c r="AW13" s="101">
        <f>'Объемы реализации'!AX12*Цены!BG12*SUMIF(Сезонность!$B$1:$M$1,MONTH(Выручка!AW$3),Сезонность!$B$6:$M$6)/1000</f>
        <v>31907.039062500004</v>
      </c>
      <c r="AX13" s="101">
        <f>'Объемы реализации'!AY12*Цены!BH12*SUMIF(Сезонность!$B$1:$M$1,MONTH(Выручка!AX$3),Сезонность!$B$6:$M$6)/1000</f>
        <v>31907.039062500004</v>
      </c>
      <c r="AY13" s="101">
        <f>'Объемы реализации'!AZ12*Цены!BI12*SUMIF(Сезонность!$B$1:$M$1,MONTH(Выручка!AY$3),Сезонность!$B$6:$M$6)/1000</f>
        <v>31907.039062500004</v>
      </c>
      <c r="AZ13" s="101">
        <f>'Объемы реализации'!BA12*Цены!BJ12*SUMIF(Сезонность!$B$1:$M$1,MONTH(Выручка!AZ$3),Сезонность!$B$6:$M$6)/1000</f>
        <v>31907.039062500004</v>
      </c>
      <c r="BA13" s="101">
        <f>'Объемы реализации'!BB12*Цены!BK12*SUMIF(Сезонность!$B$1:$M$1,MONTH(Выручка!BA$3),Сезонность!$B$6:$M$6)/1000</f>
        <v>31907.039062500004</v>
      </c>
      <c r="BB13" s="101">
        <f>'Объемы реализации'!BC12*Цены!BL12*SUMIF(Сезонность!$B$1:$M$1,MONTH(Выручка!BB$3),Сезонность!$B$6:$M$6)/1000</f>
        <v>33502.391015625006</v>
      </c>
      <c r="BC13" s="101">
        <f>'Объемы реализации'!BD12*Цены!BM12*SUMIF(Сезонность!$B$1:$M$1,MONTH(Выручка!BC$3),Сезонность!$B$6:$M$6)/1000</f>
        <v>33502.391015625006</v>
      </c>
      <c r="BD13" s="101">
        <f>'Объемы реализации'!BE12*Цены!BN12*SUMIF(Сезонность!$B$1:$M$1,MONTH(Выручка!BD$3),Сезонность!$B$6:$M$6)/1000</f>
        <v>33502.391015625006</v>
      </c>
      <c r="BE13" s="101">
        <f>'Объемы реализации'!BF12*Цены!BO12*SUMIF(Сезонность!$B$1:$M$1,MONTH(Выручка!BE$3),Сезонность!$B$6:$M$6)/1000</f>
        <v>33502.391015625006</v>
      </c>
      <c r="BF13" s="101">
        <f>'Объемы реализации'!BG12*Цены!BP12*SUMIF(Сезонность!$B$1:$M$1,MONTH(Выручка!BF$3),Сезонность!$B$6:$M$6)/1000</f>
        <v>33502.391015625006</v>
      </c>
      <c r="BG13" s="101">
        <f>'Объемы реализации'!BH12*Цены!BQ12*SUMIF(Сезонность!$B$1:$M$1,MONTH(Выручка!BG$3),Сезонность!$B$6:$M$6)/1000</f>
        <v>33502.391015625006</v>
      </c>
      <c r="BH13" s="101">
        <f>'Объемы реализации'!BI12*Цены!BR12*SUMIF(Сезонность!$B$1:$M$1,MONTH(Выручка!BH$3),Сезонность!$B$6:$M$6)/1000</f>
        <v>33502.391015625006</v>
      </c>
      <c r="BI13" s="101">
        <f>'Объемы реализации'!BJ12*Цены!BS12*SUMIF(Сезонность!$B$1:$M$1,MONTH(Выручка!BI$3),Сезонность!$B$6:$M$6)/1000</f>
        <v>33502.391015625006</v>
      </c>
      <c r="BK13" s="101">
        <f t="shared" si="40"/>
        <v>5250</v>
      </c>
      <c r="BL13" s="101">
        <f t="shared" si="40"/>
        <v>297675</v>
      </c>
      <c r="BM13" s="101">
        <f t="shared" si="40"/>
        <v>347287.5</v>
      </c>
      <c r="BN13" s="101">
        <f t="shared" si="40"/>
        <v>364651.87500000006</v>
      </c>
      <c r="BO13" s="101">
        <f t="shared" si="40"/>
        <v>382884.46875000006</v>
      </c>
      <c r="BP13" s="101">
        <f t="shared" si="40"/>
        <v>268019.12812500005</v>
      </c>
      <c r="BQ13" s="101">
        <f t="shared" si="41"/>
        <v>1665767.971875</v>
      </c>
      <c r="BR13" s="226">
        <f t="shared" si="42"/>
        <v>0.10855331173754219</v>
      </c>
    </row>
    <row r="14" spans="1:120">
      <c r="A14" s="30" t="str">
        <f>Допущения!A25</f>
        <v>Шашлык маринованный</v>
      </c>
      <c r="B14" s="101">
        <f>'Объемы реализации'!C13*Цены!L13*SUMIF(Сезонность!$B$1:$M$1,MONTH(Выручка!B$3),Сезонность!$B$6:$M$6)/1000</f>
        <v>0</v>
      </c>
      <c r="C14" s="101">
        <f>'Объемы реализации'!D13*Цены!M13*SUMIF(Сезонность!$B$1:$M$1,MONTH(Выручка!C$3),Сезонность!$B$6:$M$6)/1000</f>
        <v>0</v>
      </c>
      <c r="D14" s="101">
        <f>'Объемы реализации'!E13*Цены!N13*SUMIF(Сезонность!$B$1:$M$1,MONTH(Выручка!D$3),Сезонность!$B$6:$M$6)/1000</f>
        <v>0</v>
      </c>
      <c r="E14" s="101">
        <f>'Объемы реализации'!F13*Цены!O13*SUMIF(Сезонность!$B$1:$M$1,MONTH(Выручка!E$3),Сезонность!$B$6:$M$6)/1000</f>
        <v>7000.0000000000009</v>
      </c>
      <c r="F14" s="101">
        <f>'Объемы реализации'!G13*Цены!P13*SUMIF(Сезонность!$B$1:$M$1,MONTH(Выручка!F$3),Сезонность!$B$6:$M$6)/1000</f>
        <v>14700.000000000004</v>
      </c>
      <c r="G14" s="101">
        <f>'Объемы реализации'!H13*Цены!Q13*SUMIF(Сезонность!$B$1:$M$1,MONTH(Выручка!G$3),Сезонность!$B$6:$M$6)/1000</f>
        <v>22050.000000000004</v>
      </c>
      <c r="H14" s="101">
        <f>'Объемы реализации'!I13*Цены!R13*SUMIF(Сезонность!$B$1:$M$1,MONTH(Выручка!H$3),Сезонность!$B$6:$M$6)/1000</f>
        <v>29400.000000000007</v>
      </c>
      <c r="I14" s="101">
        <f>'Объемы реализации'!J13*Цены!S13*SUMIF(Сезонность!$B$1:$M$1,MONTH(Выручка!I$3),Сезонность!$B$6:$M$6)/1000</f>
        <v>36750.000000000007</v>
      </c>
      <c r="J14" s="101">
        <f>'Объемы реализации'!K13*Цены!T13*SUMIF(Сезонность!$B$1:$M$1,MONTH(Выручка!J$3),Сезонность!$B$6:$M$6)/1000</f>
        <v>36750.000000000007</v>
      </c>
      <c r="K14" s="101">
        <f>'Объемы реализации'!L13*Цены!U13*SUMIF(Сезонность!$B$1:$M$1,MONTH(Выручка!K$3),Сезонность!$B$6:$M$6)/1000</f>
        <v>36750.000000000007</v>
      </c>
      <c r="L14" s="101">
        <f>'Объемы реализации'!M13*Цены!V13*SUMIF(Сезонность!$B$1:$M$1,MONTH(Выручка!L$3),Сезонность!$B$6:$M$6)/1000</f>
        <v>36750.000000000007</v>
      </c>
      <c r="M14" s="101">
        <f>'Объемы реализации'!N13*Цены!W13*SUMIF(Сезонность!$B$1:$M$1,MONTH(Выручка!M$3),Сезонность!$B$6:$M$6)/1000</f>
        <v>36750.000000000007</v>
      </c>
      <c r="N14" s="101">
        <f>'Объемы реализации'!O13*Цены!X13*SUMIF(Сезонность!$B$1:$M$1,MONTH(Выручка!N$3),Сезонность!$B$6:$M$6)/1000</f>
        <v>36750.000000000007</v>
      </c>
      <c r="O14" s="101">
        <f>'Объемы реализации'!P13*Цены!Y13*SUMIF(Сезонность!$B$1:$M$1,MONTH(Выручка!O$3),Сезонность!$B$6:$M$6)/1000</f>
        <v>36750.000000000007</v>
      </c>
      <c r="P14" s="101">
        <f>'Объемы реализации'!Q13*Цены!Z13*SUMIF(Сезонность!$B$1:$M$1,MONTH(Выручка!P$3),Сезонность!$B$6:$M$6)/1000</f>
        <v>36750.000000000007</v>
      </c>
      <c r="Q14" s="101">
        <f>'Объемы реализации'!R13*Цены!AA13*SUMIF(Сезонность!$B$1:$M$1,MONTH(Выручка!Q$3),Сезонность!$B$6:$M$6)/1000</f>
        <v>36750.000000000007</v>
      </c>
      <c r="R14" s="101">
        <f>'Объемы реализации'!S13*Цены!AB13*SUMIF(Сезонность!$B$1:$M$1,MONTH(Выручка!R$3),Сезонность!$B$6:$M$6)/1000</f>
        <v>38587.500000000007</v>
      </c>
      <c r="S14" s="101">
        <f>'Объемы реализации'!T13*Цены!AC13*SUMIF(Сезонность!$B$1:$M$1,MONTH(Выручка!S$3),Сезонность!$B$6:$M$6)/1000</f>
        <v>38587.500000000007</v>
      </c>
      <c r="T14" s="101">
        <f>'Объемы реализации'!U13*Цены!AD13*SUMIF(Сезонность!$B$1:$M$1,MONTH(Выручка!T$3),Сезонность!$B$6:$M$6)/1000</f>
        <v>38587.500000000007</v>
      </c>
      <c r="U14" s="101">
        <f>'Объемы реализации'!V13*Цены!AE13*SUMIF(Сезонность!$B$1:$M$1,MONTH(Выручка!U$3),Сезонность!$B$6:$M$6)/1000</f>
        <v>38587.500000000007</v>
      </c>
      <c r="V14" s="101">
        <f>'Объемы реализации'!W13*Цены!AF13*SUMIF(Сезонность!$B$1:$M$1,MONTH(Выручка!V$3),Сезонность!$B$6:$M$6)/1000</f>
        <v>38587.500000000007</v>
      </c>
      <c r="W14" s="101">
        <f>'Объемы реализации'!X13*Цены!AG13*SUMIF(Сезонность!$B$1:$M$1,MONTH(Выручка!W$3),Сезонность!$B$6:$M$6)/1000</f>
        <v>38587.500000000007</v>
      </c>
      <c r="X14" s="101">
        <f>'Объемы реализации'!Y13*Цены!AH13*SUMIF(Сезонность!$B$1:$M$1,MONTH(Выручка!X$3),Сезонность!$B$6:$M$6)/1000</f>
        <v>38587.500000000007</v>
      </c>
      <c r="Y14" s="101">
        <f>'Объемы реализации'!Z13*Цены!AI13*SUMIF(Сезонность!$B$1:$M$1,MONTH(Выручка!Y$3),Сезонность!$B$6:$M$6)/1000</f>
        <v>38587.500000000007</v>
      </c>
      <c r="Z14" s="101">
        <f>'Объемы реализации'!AA13*Цены!AJ13*SUMIF(Сезонность!$B$1:$M$1,MONTH(Выручка!Z$3),Сезонность!$B$6:$M$6)/1000</f>
        <v>38587.500000000007</v>
      </c>
      <c r="AA14" s="101">
        <f>'Объемы реализации'!AB13*Цены!AK13*SUMIF(Сезонность!$B$1:$M$1,MONTH(Выручка!AA$3),Сезонность!$B$6:$M$6)/1000</f>
        <v>38587.500000000007</v>
      </c>
      <c r="AB14" s="101">
        <f>'Объемы реализации'!AC13*Цены!AL13*SUMIF(Сезонность!$B$1:$M$1,MONTH(Выручка!AB$3),Сезонность!$B$6:$M$6)/1000</f>
        <v>38587.500000000007</v>
      </c>
      <c r="AC14" s="101">
        <f>'Объемы реализации'!AD13*Цены!AM13*SUMIF(Сезонность!$B$1:$M$1,MONTH(Выручка!AC$3),Сезонность!$B$6:$M$6)/1000</f>
        <v>38587.500000000007</v>
      </c>
      <c r="AD14" s="101">
        <f>'Объемы реализации'!AE13*Цены!AN13*SUMIF(Сезонность!$B$1:$M$1,MONTH(Выручка!AD$3),Сезонность!$B$6:$M$6)/1000</f>
        <v>40516.875000000007</v>
      </c>
      <c r="AE14" s="101">
        <f>'Объемы реализации'!AF13*Цены!AO13*SUMIF(Сезонность!$B$1:$M$1,MONTH(Выручка!AE$3),Сезонность!$B$6:$M$6)/1000</f>
        <v>40516.875000000007</v>
      </c>
      <c r="AF14" s="101">
        <f>'Объемы реализации'!AG13*Цены!AP13*SUMIF(Сезонность!$B$1:$M$1,MONTH(Выручка!AF$3),Сезонность!$B$6:$M$6)/1000</f>
        <v>40516.875000000007</v>
      </c>
      <c r="AG14" s="101">
        <f>'Объемы реализации'!AH13*Цены!AQ13*SUMIF(Сезонность!$B$1:$M$1,MONTH(Выручка!AG$3),Сезонность!$B$6:$M$6)/1000</f>
        <v>40516.875000000007</v>
      </c>
      <c r="AH14" s="101">
        <f>'Объемы реализации'!AI13*Цены!AR13*SUMIF(Сезонность!$B$1:$M$1,MONTH(Выручка!AH$3),Сезонность!$B$6:$M$6)/1000</f>
        <v>40516.875000000007</v>
      </c>
      <c r="AI14" s="101">
        <f>'Объемы реализации'!AJ13*Цены!AS13*SUMIF(Сезонность!$B$1:$M$1,MONTH(Выручка!AI$3),Сезонность!$B$6:$M$6)/1000</f>
        <v>40516.875000000007</v>
      </c>
      <c r="AJ14" s="101">
        <f>'Объемы реализации'!AK13*Цены!AT13*SUMIF(Сезонность!$B$1:$M$1,MONTH(Выручка!AJ$3),Сезонность!$B$6:$M$6)/1000</f>
        <v>40516.875000000007</v>
      </c>
      <c r="AK14" s="101">
        <f>'Объемы реализации'!AL13*Цены!AU13*SUMIF(Сезонность!$B$1:$M$1,MONTH(Выручка!AK$3),Сезонность!$B$6:$M$6)/1000</f>
        <v>40516.875000000007</v>
      </c>
      <c r="AL14" s="101">
        <f>'Объемы реализации'!AM13*Цены!AV13*SUMIF(Сезонность!$B$1:$M$1,MONTH(Выручка!AL$3),Сезонность!$B$6:$M$6)/1000</f>
        <v>40516.875000000007</v>
      </c>
      <c r="AM14" s="101">
        <f>'Объемы реализации'!AN13*Цены!AW13*SUMIF(Сезонность!$B$1:$M$1,MONTH(Выручка!AM$3),Сезонность!$B$6:$M$6)/1000</f>
        <v>40516.875000000007</v>
      </c>
      <c r="AN14" s="101">
        <f>'Объемы реализации'!AO13*Цены!AX13*SUMIF(Сезонность!$B$1:$M$1,MONTH(Выручка!AN$3),Сезонность!$B$6:$M$6)/1000</f>
        <v>40516.875000000007</v>
      </c>
      <c r="AO14" s="101">
        <f>'Объемы реализации'!AP13*Цены!AY13*SUMIF(Сезонность!$B$1:$M$1,MONTH(Выручка!AO$3),Сезонность!$B$6:$M$6)/1000</f>
        <v>40516.875000000007</v>
      </c>
      <c r="AP14" s="101">
        <f>'Объемы реализации'!AQ13*Цены!AZ13*SUMIF(Сезонность!$B$1:$M$1,MONTH(Выручка!AP$3),Сезонность!$B$6:$M$6)/1000</f>
        <v>42542.718750000015</v>
      </c>
      <c r="AQ14" s="101">
        <f>'Объемы реализации'!AR13*Цены!BA13*SUMIF(Сезонность!$B$1:$M$1,MONTH(Выручка!AQ$3),Сезонность!$B$6:$M$6)/1000</f>
        <v>42542.718750000015</v>
      </c>
      <c r="AR14" s="101">
        <f>'Объемы реализации'!AS13*Цены!BB13*SUMIF(Сезонность!$B$1:$M$1,MONTH(Выручка!AR$3),Сезонность!$B$6:$M$6)/1000</f>
        <v>42542.718750000015</v>
      </c>
      <c r="AS14" s="101">
        <f>'Объемы реализации'!AT13*Цены!BC13*SUMIF(Сезонность!$B$1:$M$1,MONTH(Выручка!AS$3),Сезонность!$B$6:$M$6)/1000</f>
        <v>42542.718750000015</v>
      </c>
      <c r="AT14" s="101">
        <f>'Объемы реализации'!AU13*Цены!BD13*SUMIF(Сезонность!$B$1:$M$1,MONTH(Выручка!AT$3),Сезонность!$B$6:$M$6)/1000</f>
        <v>42542.718750000015</v>
      </c>
      <c r="AU14" s="101">
        <f>'Объемы реализации'!AV13*Цены!BE13*SUMIF(Сезонность!$B$1:$M$1,MONTH(Выручка!AU$3),Сезонность!$B$6:$M$6)/1000</f>
        <v>42542.718750000015</v>
      </c>
      <c r="AV14" s="101">
        <f>'Объемы реализации'!AW13*Цены!BF13*SUMIF(Сезонность!$B$1:$M$1,MONTH(Выручка!AV$3),Сезонность!$B$6:$M$6)/1000</f>
        <v>42542.718750000015</v>
      </c>
      <c r="AW14" s="101">
        <f>'Объемы реализации'!AX13*Цены!BG13*SUMIF(Сезонность!$B$1:$M$1,MONTH(Выручка!AW$3),Сезонность!$B$6:$M$6)/1000</f>
        <v>42542.718750000015</v>
      </c>
      <c r="AX14" s="101">
        <f>'Объемы реализации'!AY13*Цены!BH13*SUMIF(Сезонность!$B$1:$M$1,MONTH(Выручка!AX$3),Сезонность!$B$6:$M$6)/1000</f>
        <v>42542.718750000015</v>
      </c>
      <c r="AY14" s="101">
        <f>'Объемы реализации'!AZ13*Цены!BI13*SUMIF(Сезонность!$B$1:$M$1,MONTH(Выручка!AY$3),Сезонность!$B$6:$M$6)/1000</f>
        <v>42542.718750000015</v>
      </c>
      <c r="AZ14" s="101">
        <f>'Объемы реализации'!BA13*Цены!BJ13*SUMIF(Сезонность!$B$1:$M$1,MONTH(Выручка!AZ$3),Сезонность!$B$6:$M$6)/1000</f>
        <v>42542.718750000015</v>
      </c>
      <c r="BA14" s="101">
        <f>'Объемы реализации'!BB13*Цены!BK13*SUMIF(Сезонность!$B$1:$M$1,MONTH(Выручка!BA$3),Сезонность!$B$6:$M$6)/1000</f>
        <v>42542.718750000015</v>
      </c>
      <c r="BB14" s="101">
        <f>'Объемы реализации'!BC13*Цены!BL13*SUMIF(Сезонность!$B$1:$M$1,MONTH(Выручка!BB$3),Сезонность!$B$6:$M$6)/1000</f>
        <v>44669.854687500025</v>
      </c>
      <c r="BC14" s="101">
        <f>'Объемы реализации'!BD13*Цены!BM13*SUMIF(Сезонность!$B$1:$M$1,MONTH(Выручка!BC$3),Сезонность!$B$6:$M$6)/1000</f>
        <v>44669.854687500025</v>
      </c>
      <c r="BD14" s="101">
        <f>'Объемы реализации'!BE13*Цены!BN13*SUMIF(Сезонность!$B$1:$M$1,MONTH(Выручка!BD$3),Сезонность!$B$6:$M$6)/1000</f>
        <v>44669.854687500025</v>
      </c>
      <c r="BE14" s="101">
        <f>'Объемы реализации'!BF13*Цены!BO13*SUMIF(Сезонность!$B$1:$M$1,MONTH(Выручка!BE$3),Сезонность!$B$6:$M$6)/1000</f>
        <v>44669.854687500025</v>
      </c>
      <c r="BF14" s="101">
        <f>'Объемы реализации'!BG13*Цены!BP13*SUMIF(Сезонность!$B$1:$M$1,MONTH(Выручка!BF$3),Сезонность!$B$6:$M$6)/1000</f>
        <v>44669.854687500025</v>
      </c>
      <c r="BG14" s="101">
        <f>'Объемы реализации'!BH13*Цены!BQ13*SUMIF(Сезонность!$B$1:$M$1,MONTH(Выручка!BG$3),Сезонность!$B$6:$M$6)/1000</f>
        <v>44669.854687500025</v>
      </c>
      <c r="BH14" s="101">
        <f>'Объемы реализации'!BI13*Цены!BR13*SUMIF(Сезонность!$B$1:$M$1,MONTH(Выручка!BH$3),Сезонность!$B$6:$M$6)/1000</f>
        <v>44669.854687500025</v>
      </c>
      <c r="BI14" s="101">
        <f>'Объемы реализации'!BJ13*Цены!BS13*SUMIF(Сезонность!$B$1:$M$1,MONTH(Выручка!BI$3),Сезонность!$B$6:$M$6)/1000</f>
        <v>44669.854687500025</v>
      </c>
      <c r="BK14" s="101">
        <f t="shared" si="40"/>
        <v>7000.0000000000009</v>
      </c>
      <c r="BL14" s="101">
        <f t="shared" si="40"/>
        <v>396900.00000000006</v>
      </c>
      <c r="BM14" s="101">
        <f t="shared" si="40"/>
        <v>463050.00000000006</v>
      </c>
      <c r="BN14" s="101">
        <f t="shared" si="40"/>
        <v>486202.50000000006</v>
      </c>
      <c r="BO14" s="101">
        <f t="shared" si="40"/>
        <v>510512.62500000006</v>
      </c>
      <c r="BP14" s="101">
        <f t="shared" si="40"/>
        <v>357358.83750000026</v>
      </c>
      <c r="BQ14" s="101">
        <f t="shared" si="41"/>
        <v>2221023.9625000004</v>
      </c>
      <c r="BR14" s="226">
        <f t="shared" si="42"/>
        <v>0.14473774898338962</v>
      </c>
    </row>
    <row r="15" spans="1:120">
      <c r="A15" s="30" t="str">
        <f>Допущения!A26</f>
        <v>Фрикадельки</v>
      </c>
      <c r="B15" s="101">
        <f>'Объемы реализации'!C14*Цены!L14*SUMIF(Сезонность!$B$1:$M$1,MONTH(Выручка!B$3),Сезонность!$B$6:$M$6)/1000</f>
        <v>0</v>
      </c>
      <c r="C15" s="101">
        <f>'Объемы реализации'!D14*Цены!M14*SUMIF(Сезонность!$B$1:$M$1,MONTH(Выручка!C$3),Сезонность!$B$6:$M$6)/1000</f>
        <v>0</v>
      </c>
      <c r="D15" s="101">
        <f>'Объемы реализации'!E14*Цены!N14*SUMIF(Сезонность!$B$1:$M$1,MONTH(Выручка!D$3),Сезонность!$B$6:$M$6)/1000</f>
        <v>0</v>
      </c>
      <c r="E15" s="101">
        <f>'Объемы реализации'!F14*Цены!O14*SUMIF(Сезонность!$B$1:$M$1,MONTH(Выручка!E$3),Сезонность!$B$6:$M$6)/1000</f>
        <v>4900.0000000000009</v>
      </c>
      <c r="F15" s="101">
        <f>'Объемы реализации'!G14*Цены!P14*SUMIF(Сезонность!$B$1:$M$1,MONTH(Выручка!F$3),Сезонность!$B$6:$M$6)/1000</f>
        <v>10290.000000000002</v>
      </c>
      <c r="G15" s="101">
        <f>'Объемы реализации'!H14*Цены!Q14*SUMIF(Сезонность!$B$1:$M$1,MONTH(Выручка!G$3),Сезонность!$B$6:$M$6)/1000</f>
        <v>15435.000000000004</v>
      </c>
      <c r="H15" s="101">
        <f>'Объемы реализации'!I14*Цены!R14*SUMIF(Сезонность!$B$1:$M$1,MONTH(Выручка!H$3),Сезонность!$B$6:$M$6)/1000</f>
        <v>20580.000000000004</v>
      </c>
      <c r="I15" s="101">
        <f>'Объемы реализации'!J14*Цены!S14*SUMIF(Сезонность!$B$1:$M$1,MONTH(Выручка!I$3),Сезонность!$B$6:$M$6)/1000</f>
        <v>25725.000000000007</v>
      </c>
      <c r="J15" s="101">
        <f>'Объемы реализации'!K14*Цены!T14*SUMIF(Сезонность!$B$1:$M$1,MONTH(Выручка!J$3),Сезонность!$B$6:$M$6)/1000</f>
        <v>25725.000000000007</v>
      </c>
      <c r="K15" s="101">
        <f>'Объемы реализации'!L14*Цены!U14*SUMIF(Сезонность!$B$1:$M$1,MONTH(Выручка!K$3),Сезонность!$B$6:$M$6)/1000</f>
        <v>25725.000000000007</v>
      </c>
      <c r="L15" s="101">
        <f>'Объемы реализации'!M14*Цены!V14*SUMIF(Сезонность!$B$1:$M$1,MONTH(Выручка!L$3),Сезонность!$B$6:$M$6)/1000</f>
        <v>25725.000000000007</v>
      </c>
      <c r="M15" s="101">
        <f>'Объемы реализации'!N14*Цены!W14*SUMIF(Сезонность!$B$1:$M$1,MONTH(Выручка!M$3),Сезонность!$B$6:$M$6)/1000</f>
        <v>25725.000000000007</v>
      </c>
      <c r="N15" s="101">
        <f>'Объемы реализации'!O14*Цены!X14*SUMIF(Сезонность!$B$1:$M$1,MONTH(Выручка!N$3),Сезонность!$B$6:$M$6)/1000</f>
        <v>25725.000000000007</v>
      </c>
      <c r="O15" s="101">
        <f>'Объемы реализации'!P14*Цены!Y14*SUMIF(Сезонность!$B$1:$M$1,MONTH(Выручка!O$3),Сезонность!$B$6:$M$6)/1000</f>
        <v>25725.000000000007</v>
      </c>
      <c r="P15" s="101">
        <f>'Объемы реализации'!Q14*Цены!Z14*SUMIF(Сезонность!$B$1:$M$1,MONTH(Выручка!P$3),Сезонность!$B$6:$M$6)/1000</f>
        <v>25725.000000000007</v>
      </c>
      <c r="Q15" s="101">
        <f>'Объемы реализации'!R14*Цены!AA14*SUMIF(Сезонность!$B$1:$M$1,MONTH(Выручка!Q$3),Сезонность!$B$6:$M$6)/1000</f>
        <v>25725.000000000007</v>
      </c>
      <c r="R15" s="101">
        <f>'Объемы реализации'!S14*Цены!AB14*SUMIF(Сезонность!$B$1:$M$1,MONTH(Выручка!R$3),Сезонность!$B$6:$M$6)/1000</f>
        <v>27011.250000000007</v>
      </c>
      <c r="S15" s="101">
        <f>'Объемы реализации'!T14*Цены!AC14*SUMIF(Сезонность!$B$1:$M$1,MONTH(Выручка!S$3),Сезонность!$B$6:$M$6)/1000</f>
        <v>27011.250000000007</v>
      </c>
      <c r="T15" s="101">
        <f>'Объемы реализации'!U14*Цены!AD14*SUMIF(Сезонность!$B$1:$M$1,MONTH(Выручка!T$3),Сезонность!$B$6:$M$6)/1000</f>
        <v>27011.250000000007</v>
      </c>
      <c r="U15" s="101">
        <f>'Объемы реализации'!V14*Цены!AE14*SUMIF(Сезонность!$B$1:$M$1,MONTH(Выручка!U$3),Сезонность!$B$6:$M$6)/1000</f>
        <v>27011.250000000007</v>
      </c>
      <c r="V15" s="101">
        <f>'Объемы реализации'!W14*Цены!AF14*SUMIF(Сезонность!$B$1:$M$1,MONTH(Выручка!V$3),Сезонность!$B$6:$M$6)/1000</f>
        <v>27011.250000000007</v>
      </c>
      <c r="W15" s="101">
        <f>'Объемы реализации'!X14*Цены!AG14*SUMIF(Сезонность!$B$1:$M$1,MONTH(Выручка!W$3),Сезонность!$B$6:$M$6)/1000</f>
        <v>27011.250000000007</v>
      </c>
      <c r="X15" s="101">
        <f>'Объемы реализации'!Y14*Цены!AH14*SUMIF(Сезонность!$B$1:$M$1,MONTH(Выручка!X$3),Сезонность!$B$6:$M$6)/1000</f>
        <v>27011.250000000007</v>
      </c>
      <c r="Y15" s="101">
        <f>'Объемы реализации'!Z14*Цены!AI14*SUMIF(Сезонность!$B$1:$M$1,MONTH(Выручка!Y$3),Сезонность!$B$6:$M$6)/1000</f>
        <v>27011.250000000007</v>
      </c>
      <c r="Z15" s="101">
        <f>'Объемы реализации'!AA14*Цены!AJ14*SUMIF(Сезонность!$B$1:$M$1,MONTH(Выручка!Z$3),Сезонность!$B$6:$M$6)/1000</f>
        <v>27011.250000000007</v>
      </c>
      <c r="AA15" s="101">
        <f>'Объемы реализации'!AB14*Цены!AK14*SUMIF(Сезонность!$B$1:$M$1,MONTH(Выручка!AA$3),Сезонность!$B$6:$M$6)/1000</f>
        <v>27011.250000000007</v>
      </c>
      <c r="AB15" s="101">
        <f>'Объемы реализации'!AC14*Цены!AL14*SUMIF(Сезонность!$B$1:$M$1,MONTH(Выручка!AB$3),Сезонность!$B$6:$M$6)/1000</f>
        <v>27011.250000000007</v>
      </c>
      <c r="AC15" s="101">
        <f>'Объемы реализации'!AD14*Цены!AM14*SUMIF(Сезонность!$B$1:$M$1,MONTH(Выручка!AC$3),Сезонность!$B$6:$M$6)/1000</f>
        <v>27011.250000000007</v>
      </c>
      <c r="AD15" s="101">
        <f>'Объемы реализации'!AE14*Цены!AN14*SUMIF(Сезонность!$B$1:$M$1,MONTH(Выручка!AD$3),Сезонность!$B$6:$M$6)/1000</f>
        <v>28361.812500000007</v>
      </c>
      <c r="AE15" s="101">
        <f>'Объемы реализации'!AF14*Цены!AO14*SUMIF(Сезонность!$B$1:$M$1,MONTH(Выручка!AE$3),Сезонность!$B$6:$M$6)/1000</f>
        <v>28361.812500000007</v>
      </c>
      <c r="AF15" s="101">
        <f>'Объемы реализации'!AG14*Цены!AP14*SUMIF(Сезонность!$B$1:$M$1,MONTH(Выручка!AF$3),Сезонность!$B$6:$M$6)/1000</f>
        <v>28361.812500000007</v>
      </c>
      <c r="AG15" s="101">
        <f>'Объемы реализации'!AH14*Цены!AQ14*SUMIF(Сезонность!$B$1:$M$1,MONTH(Выручка!AG$3),Сезонность!$B$6:$M$6)/1000</f>
        <v>28361.812500000007</v>
      </c>
      <c r="AH15" s="101">
        <f>'Объемы реализации'!AI14*Цены!AR14*SUMIF(Сезонность!$B$1:$M$1,MONTH(Выручка!AH$3),Сезонность!$B$6:$M$6)/1000</f>
        <v>28361.812500000007</v>
      </c>
      <c r="AI15" s="101">
        <f>'Объемы реализации'!AJ14*Цены!AS14*SUMIF(Сезонность!$B$1:$M$1,MONTH(Выручка!AI$3),Сезонность!$B$6:$M$6)/1000</f>
        <v>28361.812500000007</v>
      </c>
      <c r="AJ15" s="101">
        <f>'Объемы реализации'!AK14*Цены!AT14*SUMIF(Сезонность!$B$1:$M$1,MONTH(Выручка!AJ$3),Сезонность!$B$6:$M$6)/1000</f>
        <v>28361.812500000007</v>
      </c>
      <c r="AK15" s="101">
        <f>'Объемы реализации'!AL14*Цены!AU14*SUMIF(Сезонность!$B$1:$M$1,MONTH(Выручка!AK$3),Сезонность!$B$6:$M$6)/1000</f>
        <v>28361.812500000007</v>
      </c>
      <c r="AL15" s="101">
        <f>'Объемы реализации'!AM14*Цены!AV14*SUMIF(Сезонность!$B$1:$M$1,MONTH(Выручка!AL$3),Сезонность!$B$6:$M$6)/1000</f>
        <v>28361.812500000007</v>
      </c>
      <c r="AM15" s="101">
        <f>'Объемы реализации'!AN14*Цены!AW14*SUMIF(Сезонность!$B$1:$M$1,MONTH(Выручка!AM$3),Сезонность!$B$6:$M$6)/1000</f>
        <v>28361.812500000007</v>
      </c>
      <c r="AN15" s="101">
        <f>'Объемы реализации'!AO14*Цены!AX14*SUMIF(Сезонность!$B$1:$M$1,MONTH(Выручка!AN$3),Сезонность!$B$6:$M$6)/1000</f>
        <v>28361.812500000007</v>
      </c>
      <c r="AO15" s="101">
        <f>'Объемы реализации'!AP14*Цены!AY14*SUMIF(Сезонность!$B$1:$M$1,MONTH(Выручка!AO$3),Сезонность!$B$6:$M$6)/1000</f>
        <v>28361.812500000007</v>
      </c>
      <c r="AP15" s="101">
        <f>'Объемы реализации'!AQ14*Цены!AZ14*SUMIF(Сезонность!$B$1:$M$1,MONTH(Выручка!AP$3),Сезонность!$B$6:$M$6)/1000</f>
        <v>29779.903125000008</v>
      </c>
      <c r="AQ15" s="101">
        <f>'Объемы реализации'!AR14*Цены!BA14*SUMIF(Сезонность!$B$1:$M$1,MONTH(Выручка!AQ$3),Сезонность!$B$6:$M$6)/1000</f>
        <v>29779.903125000008</v>
      </c>
      <c r="AR15" s="101">
        <f>'Объемы реализации'!AS14*Цены!BB14*SUMIF(Сезонность!$B$1:$M$1,MONTH(Выручка!AR$3),Сезонность!$B$6:$M$6)/1000</f>
        <v>29779.903125000008</v>
      </c>
      <c r="AS15" s="101">
        <f>'Объемы реализации'!AT14*Цены!BC14*SUMIF(Сезонность!$B$1:$M$1,MONTH(Выручка!AS$3),Сезонность!$B$6:$M$6)/1000</f>
        <v>29779.903125000008</v>
      </c>
      <c r="AT15" s="101">
        <f>'Объемы реализации'!AU14*Цены!BD14*SUMIF(Сезонность!$B$1:$M$1,MONTH(Выручка!AT$3),Сезонность!$B$6:$M$6)/1000</f>
        <v>29779.903125000008</v>
      </c>
      <c r="AU15" s="101">
        <f>'Объемы реализации'!AV14*Цены!BE14*SUMIF(Сезонность!$B$1:$M$1,MONTH(Выручка!AU$3),Сезонность!$B$6:$M$6)/1000</f>
        <v>29779.903125000008</v>
      </c>
      <c r="AV15" s="101">
        <f>'Объемы реализации'!AW14*Цены!BF14*SUMIF(Сезонность!$B$1:$M$1,MONTH(Выручка!AV$3),Сезонность!$B$6:$M$6)/1000</f>
        <v>29779.903125000008</v>
      </c>
      <c r="AW15" s="101">
        <f>'Объемы реализации'!AX14*Цены!BG14*SUMIF(Сезонность!$B$1:$M$1,MONTH(Выручка!AW$3),Сезонность!$B$6:$M$6)/1000</f>
        <v>29779.903125000008</v>
      </c>
      <c r="AX15" s="101">
        <f>'Объемы реализации'!AY14*Цены!BH14*SUMIF(Сезонность!$B$1:$M$1,MONTH(Выручка!AX$3),Сезонность!$B$6:$M$6)/1000</f>
        <v>29779.903125000008</v>
      </c>
      <c r="AY15" s="101">
        <f>'Объемы реализации'!AZ14*Цены!BI14*SUMIF(Сезонность!$B$1:$M$1,MONTH(Выручка!AY$3),Сезонность!$B$6:$M$6)/1000</f>
        <v>29779.903125000008</v>
      </c>
      <c r="AZ15" s="101">
        <f>'Объемы реализации'!BA14*Цены!BJ14*SUMIF(Сезонность!$B$1:$M$1,MONTH(Выручка!AZ$3),Сезонность!$B$6:$M$6)/1000</f>
        <v>29779.903125000008</v>
      </c>
      <c r="BA15" s="101">
        <f>'Объемы реализации'!BB14*Цены!BK14*SUMIF(Сезонность!$B$1:$M$1,MONTH(Выручка!BA$3),Сезонность!$B$6:$M$6)/1000</f>
        <v>29779.903125000008</v>
      </c>
      <c r="BB15" s="101">
        <f>'Объемы реализации'!BC14*Цены!BL14*SUMIF(Сезонность!$B$1:$M$1,MONTH(Выручка!BB$3),Сезонность!$B$6:$M$6)/1000</f>
        <v>31268.898281250014</v>
      </c>
      <c r="BC15" s="101">
        <f>'Объемы реализации'!BD14*Цены!BM14*SUMIF(Сезонность!$B$1:$M$1,MONTH(Выручка!BC$3),Сезонность!$B$6:$M$6)/1000</f>
        <v>31268.898281250014</v>
      </c>
      <c r="BD15" s="101">
        <f>'Объемы реализации'!BE14*Цены!BN14*SUMIF(Сезонность!$B$1:$M$1,MONTH(Выручка!BD$3),Сезонность!$B$6:$M$6)/1000</f>
        <v>31268.898281250014</v>
      </c>
      <c r="BE15" s="101">
        <f>'Объемы реализации'!BF14*Цены!BO14*SUMIF(Сезонность!$B$1:$M$1,MONTH(Выручка!BE$3),Сезонность!$B$6:$M$6)/1000</f>
        <v>31268.898281250014</v>
      </c>
      <c r="BF15" s="101">
        <f>'Объемы реализации'!BG14*Цены!BP14*SUMIF(Сезонность!$B$1:$M$1,MONTH(Выручка!BF$3),Сезонность!$B$6:$M$6)/1000</f>
        <v>31268.898281250014</v>
      </c>
      <c r="BG15" s="101">
        <f>'Объемы реализации'!BH14*Цены!BQ14*SUMIF(Сезонность!$B$1:$M$1,MONTH(Выручка!BG$3),Сезонность!$B$6:$M$6)/1000</f>
        <v>31268.898281250014</v>
      </c>
      <c r="BH15" s="101">
        <f>'Объемы реализации'!BI14*Цены!BR14*SUMIF(Сезонность!$B$1:$M$1,MONTH(Выручка!BH$3),Сезонность!$B$6:$M$6)/1000</f>
        <v>31268.898281250014</v>
      </c>
      <c r="BI15" s="101">
        <f>'Объемы реализации'!BJ14*Цены!BS14*SUMIF(Сезонность!$B$1:$M$1,MONTH(Выручка!BI$3),Сезонность!$B$6:$M$6)/1000</f>
        <v>31268.898281250014</v>
      </c>
      <c r="BK15" s="101">
        <f t="shared" si="40"/>
        <v>4900.0000000000009</v>
      </c>
      <c r="BL15" s="101">
        <f t="shared" si="40"/>
        <v>277830.00000000006</v>
      </c>
      <c r="BM15" s="101">
        <f t="shared" si="40"/>
        <v>324135.00000000006</v>
      </c>
      <c r="BN15" s="101">
        <f t="shared" si="40"/>
        <v>340341.75000000006</v>
      </c>
      <c r="BO15" s="101">
        <f t="shared" si="40"/>
        <v>357358.83750000008</v>
      </c>
      <c r="BP15" s="101">
        <f t="shared" si="40"/>
        <v>250151.18625000009</v>
      </c>
      <c r="BQ15" s="101">
        <f t="shared" si="41"/>
        <v>1554716.7737500004</v>
      </c>
      <c r="BR15" s="226">
        <f t="shared" si="42"/>
        <v>0.10131642428837274</v>
      </c>
    </row>
    <row r="16" spans="1:120">
      <c r="A16" s="30" t="str">
        <f>Допущения!A27</f>
        <v>Пельмени</v>
      </c>
      <c r="B16" s="101">
        <f>'Объемы реализации'!C15*Цены!L15*SUMIF(Сезонность!$B$1:$M$1,MONTH(Выручка!B$3),Сезонность!$B$6:$M$6)/1000</f>
        <v>0</v>
      </c>
      <c r="C16" s="101">
        <f>'Объемы реализации'!D15*Цены!M15*SUMIF(Сезонность!$B$1:$M$1,MONTH(Выручка!C$3),Сезонность!$B$6:$M$6)/1000</f>
        <v>0</v>
      </c>
      <c r="D16" s="101">
        <f>'Объемы реализации'!E15*Цены!N15*SUMIF(Сезонность!$B$1:$M$1,MONTH(Выручка!D$3),Сезонность!$B$6:$M$6)/1000</f>
        <v>0</v>
      </c>
      <c r="E16" s="101">
        <f>'Объемы реализации'!F15*Цены!O15*SUMIF(Сезонность!$B$1:$M$1,MONTH(Выручка!E$3),Сезонность!$B$6:$M$6)/1000</f>
        <v>4833.3333333333339</v>
      </c>
      <c r="F16" s="101">
        <f>'Объемы реализации'!G15*Цены!P15*SUMIF(Сезонность!$B$1:$M$1,MONTH(Выручка!F$3),Сезонность!$B$6:$M$6)/1000</f>
        <v>10150.000000000002</v>
      </c>
      <c r="G16" s="101">
        <f>'Объемы реализации'!H15*Цены!Q15*SUMIF(Сезонность!$B$1:$M$1,MONTH(Выручка!G$3),Сезонность!$B$6:$M$6)/1000</f>
        <v>15225.000000000002</v>
      </c>
      <c r="H16" s="101">
        <f>'Объемы реализации'!I15*Цены!R15*SUMIF(Сезонность!$B$1:$M$1,MONTH(Выручка!H$3),Сезонность!$B$6:$M$6)/1000</f>
        <v>20300.000000000004</v>
      </c>
      <c r="I16" s="101">
        <f>'Объемы реализации'!J15*Цены!S15*SUMIF(Сезонность!$B$1:$M$1,MONTH(Выручка!I$3),Сезонность!$B$6:$M$6)/1000</f>
        <v>25375.000000000004</v>
      </c>
      <c r="J16" s="101">
        <f>'Объемы реализации'!K15*Цены!T15*SUMIF(Сезонность!$B$1:$M$1,MONTH(Выручка!J$3),Сезонность!$B$6:$M$6)/1000</f>
        <v>25375.000000000004</v>
      </c>
      <c r="K16" s="101">
        <f>'Объемы реализации'!L15*Цены!U15*SUMIF(Сезонность!$B$1:$M$1,MONTH(Выручка!K$3),Сезонность!$B$6:$M$6)/1000</f>
        <v>25375.000000000004</v>
      </c>
      <c r="L16" s="101">
        <f>'Объемы реализации'!M15*Цены!V15*SUMIF(Сезонность!$B$1:$M$1,MONTH(Выручка!L$3),Сезонность!$B$6:$M$6)/1000</f>
        <v>25375.000000000004</v>
      </c>
      <c r="M16" s="101">
        <f>'Объемы реализации'!N15*Цены!W15*SUMIF(Сезонность!$B$1:$M$1,MONTH(Выручка!M$3),Сезонность!$B$6:$M$6)/1000</f>
        <v>25375.000000000004</v>
      </c>
      <c r="N16" s="101">
        <f>'Объемы реализации'!O15*Цены!X15*SUMIF(Сезонность!$B$1:$M$1,MONTH(Выручка!N$3),Сезонность!$B$6:$M$6)/1000</f>
        <v>25375.000000000004</v>
      </c>
      <c r="O16" s="101">
        <f>'Объемы реализации'!P15*Цены!Y15*SUMIF(Сезонность!$B$1:$M$1,MONTH(Выручка!O$3),Сезонность!$B$6:$M$6)/1000</f>
        <v>25375.000000000004</v>
      </c>
      <c r="P16" s="101">
        <f>'Объемы реализации'!Q15*Цены!Z15*SUMIF(Сезонность!$B$1:$M$1,MONTH(Выручка!P$3),Сезонность!$B$6:$M$6)/1000</f>
        <v>25375.000000000004</v>
      </c>
      <c r="Q16" s="101">
        <f>'Объемы реализации'!R15*Цены!AA15*SUMIF(Сезонность!$B$1:$M$1,MONTH(Выручка!Q$3),Сезонность!$B$6:$M$6)/1000</f>
        <v>25375.000000000004</v>
      </c>
      <c r="R16" s="101">
        <f>'Объемы реализации'!S15*Цены!AB15*SUMIF(Сезонность!$B$1:$M$1,MONTH(Выручка!R$3),Сезонность!$B$6:$M$6)/1000</f>
        <v>26643.750000000007</v>
      </c>
      <c r="S16" s="101">
        <f>'Объемы реализации'!T15*Цены!AC15*SUMIF(Сезонность!$B$1:$M$1,MONTH(Выручка!S$3),Сезонность!$B$6:$M$6)/1000</f>
        <v>26643.750000000007</v>
      </c>
      <c r="T16" s="101">
        <f>'Объемы реализации'!U15*Цены!AD15*SUMIF(Сезонность!$B$1:$M$1,MONTH(Выручка!T$3),Сезонность!$B$6:$M$6)/1000</f>
        <v>26643.750000000007</v>
      </c>
      <c r="U16" s="101">
        <f>'Объемы реализации'!V15*Цены!AE15*SUMIF(Сезонность!$B$1:$M$1,MONTH(Выручка!U$3),Сезонность!$B$6:$M$6)/1000</f>
        <v>26643.750000000007</v>
      </c>
      <c r="V16" s="101">
        <f>'Объемы реализации'!W15*Цены!AF15*SUMIF(Сезонность!$B$1:$M$1,MONTH(Выручка!V$3),Сезонность!$B$6:$M$6)/1000</f>
        <v>26643.750000000007</v>
      </c>
      <c r="W16" s="101">
        <f>'Объемы реализации'!X15*Цены!AG15*SUMIF(Сезонность!$B$1:$M$1,MONTH(Выручка!W$3),Сезонность!$B$6:$M$6)/1000</f>
        <v>26643.750000000007</v>
      </c>
      <c r="X16" s="101">
        <f>'Объемы реализации'!Y15*Цены!AH15*SUMIF(Сезонность!$B$1:$M$1,MONTH(Выручка!X$3),Сезонность!$B$6:$M$6)/1000</f>
        <v>26643.750000000007</v>
      </c>
      <c r="Y16" s="101">
        <f>'Объемы реализации'!Z15*Цены!AI15*SUMIF(Сезонность!$B$1:$M$1,MONTH(Выручка!Y$3),Сезонность!$B$6:$M$6)/1000</f>
        <v>26643.750000000007</v>
      </c>
      <c r="Z16" s="101">
        <f>'Объемы реализации'!AA15*Цены!AJ15*SUMIF(Сезонность!$B$1:$M$1,MONTH(Выручка!Z$3),Сезонность!$B$6:$M$6)/1000</f>
        <v>26643.750000000007</v>
      </c>
      <c r="AA16" s="101">
        <f>'Объемы реализации'!AB15*Цены!AK15*SUMIF(Сезонность!$B$1:$M$1,MONTH(Выручка!AA$3),Сезонность!$B$6:$M$6)/1000</f>
        <v>26643.750000000007</v>
      </c>
      <c r="AB16" s="101">
        <f>'Объемы реализации'!AC15*Цены!AL15*SUMIF(Сезонность!$B$1:$M$1,MONTH(Выручка!AB$3),Сезонность!$B$6:$M$6)/1000</f>
        <v>26643.750000000007</v>
      </c>
      <c r="AC16" s="101">
        <f>'Объемы реализации'!AD15*Цены!AM15*SUMIF(Сезонность!$B$1:$M$1,MONTH(Выручка!AC$3),Сезонность!$B$6:$M$6)/1000</f>
        <v>26643.750000000007</v>
      </c>
      <c r="AD16" s="101">
        <f>'Объемы реализации'!AE15*Цены!AN15*SUMIF(Сезонность!$B$1:$M$1,MONTH(Выручка!AD$3),Сезонность!$B$6:$M$6)/1000</f>
        <v>27975.937500000004</v>
      </c>
      <c r="AE16" s="101">
        <f>'Объемы реализации'!AF15*Цены!AO15*SUMIF(Сезонность!$B$1:$M$1,MONTH(Выручка!AE$3),Сезонность!$B$6:$M$6)/1000</f>
        <v>27975.937500000004</v>
      </c>
      <c r="AF16" s="101">
        <f>'Объемы реализации'!AG15*Цены!AP15*SUMIF(Сезонность!$B$1:$M$1,MONTH(Выручка!AF$3),Сезонность!$B$6:$M$6)/1000</f>
        <v>27975.937500000004</v>
      </c>
      <c r="AG16" s="101">
        <f>'Объемы реализации'!AH15*Цены!AQ15*SUMIF(Сезонность!$B$1:$M$1,MONTH(Выручка!AG$3),Сезонность!$B$6:$M$6)/1000</f>
        <v>27975.937500000004</v>
      </c>
      <c r="AH16" s="101">
        <f>'Объемы реализации'!AI15*Цены!AR15*SUMIF(Сезонность!$B$1:$M$1,MONTH(Выручка!AH$3),Сезонность!$B$6:$M$6)/1000</f>
        <v>27975.937500000004</v>
      </c>
      <c r="AI16" s="101">
        <f>'Объемы реализации'!AJ15*Цены!AS15*SUMIF(Сезонность!$B$1:$M$1,MONTH(Выручка!AI$3),Сезонность!$B$6:$M$6)/1000</f>
        <v>27975.937500000004</v>
      </c>
      <c r="AJ16" s="101">
        <f>'Объемы реализации'!AK15*Цены!AT15*SUMIF(Сезонность!$B$1:$M$1,MONTH(Выручка!AJ$3),Сезонность!$B$6:$M$6)/1000</f>
        <v>27975.937500000004</v>
      </c>
      <c r="AK16" s="101">
        <f>'Объемы реализации'!AL15*Цены!AU15*SUMIF(Сезонность!$B$1:$M$1,MONTH(Выручка!AK$3),Сезонность!$B$6:$M$6)/1000</f>
        <v>27975.937500000004</v>
      </c>
      <c r="AL16" s="101">
        <f>'Объемы реализации'!AM15*Цены!AV15*SUMIF(Сезонность!$B$1:$M$1,MONTH(Выручка!AL$3),Сезонность!$B$6:$M$6)/1000</f>
        <v>27975.937500000004</v>
      </c>
      <c r="AM16" s="101">
        <f>'Объемы реализации'!AN15*Цены!AW15*SUMIF(Сезонность!$B$1:$M$1,MONTH(Выручка!AM$3),Сезонность!$B$6:$M$6)/1000</f>
        <v>27975.937500000004</v>
      </c>
      <c r="AN16" s="101">
        <f>'Объемы реализации'!AO15*Цены!AX15*SUMIF(Сезонность!$B$1:$M$1,MONTH(Выручка!AN$3),Сезонность!$B$6:$M$6)/1000</f>
        <v>27975.937500000004</v>
      </c>
      <c r="AO16" s="101">
        <f>'Объемы реализации'!AP15*Цены!AY15*SUMIF(Сезонность!$B$1:$M$1,MONTH(Выручка!AO$3),Сезонность!$B$6:$M$6)/1000</f>
        <v>27975.937500000004</v>
      </c>
      <c r="AP16" s="101">
        <f>'Объемы реализации'!AQ15*Цены!AZ15*SUMIF(Сезонность!$B$1:$M$1,MONTH(Выручка!AP$3),Сезонность!$B$6:$M$6)/1000</f>
        <v>29374.734375000007</v>
      </c>
      <c r="AQ16" s="101">
        <f>'Объемы реализации'!AR15*Цены!BA15*SUMIF(Сезонность!$B$1:$M$1,MONTH(Выручка!AQ$3),Сезонность!$B$6:$M$6)/1000</f>
        <v>29374.734375000007</v>
      </c>
      <c r="AR16" s="101">
        <f>'Объемы реализации'!AS15*Цены!BB15*SUMIF(Сезонность!$B$1:$M$1,MONTH(Выручка!AR$3),Сезонность!$B$6:$M$6)/1000</f>
        <v>29374.734375000007</v>
      </c>
      <c r="AS16" s="101">
        <f>'Объемы реализации'!AT15*Цены!BC15*SUMIF(Сезонность!$B$1:$M$1,MONTH(Выручка!AS$3),Сезонность!$B$6:$M$6)/1000</f>
        <v>29374.734375000007</v>
      </c>
      <c r="AT16" s="101">
        <f>'Объемы реализации'!AU15*Цены!BD15*SUMIF(Сезонность!$B$1:$M$1,MONTH(Выручка!AT$3),Сезонность!$B$6:$M$6)/1000</f>
        <v>29374.734375000007</v>
      </c>
      <c r="AU16" s="101">
        <f>'Объемы реализации'!AV15*Цены!BE15*SUMIF(Сезонность!$B$1:$M$1,MONTH(Выручка!AU$3),Сезонность!$B$6:$M$6)/1000</f>
        <v>29374.734375000007</v>
      </c>
      <c r="AV16" s="101">
        <f>'Объемы реализации'!AW15*Цены!BF15*SUMIF(Сезонность!$B$1:$M$1,MONTH(Выручка!AV$3),Сезонность!$B$6:$M$6)/1000</f>
        <v>29374.734375000007</v>
      </c>
      <c r="AW16" s="101">
        <f>'Объемы реализации'!AX15*Цены!BG15*SUMIF(Сезонность!$B$1:$M$1,MONTH(Выручка!AW$3),Сезонность!$B$6:$M$6)/1000</f>
        <v>29374.734375000007</v>
      </c>
      <c r="AX16" s="101">
        <f>'Объемы реализации'!AY15*Цены!BH15*SUMIF(Сезонность!$B$1:$M$1,MONTH(Выручка!AX$3),Сезонность!$B$6:$M$6)/1000</f>
        <v>29374.734375000007</v>
      </c>
      <c r="AY16" s="101">
        <f>'Объемы реализации'!AZ15*Цены!BI15*SUMIF(Сезонность!$B$1:$M$1,MONTH(Выручка!AY$3),Сезонность!$B$6:$M$6)/1000</f>
        <v>29374.734375000007</v>
      </c>
      <c r="AZ16" s="101">
        <f>'Объемы реализации'!BA15*Цены!BJ15*SUMIF(Сезонность!$B$1:$M$1,MONTH(Выручка!AZ$3),Сезонность!$B$6:$M$6)/1000</f>
        <v>29374.734375000007</v>
      </c>
      <c r="BA16" s="101">
        <f>'Объемы реализации'!BB15*Цены!BK15*SUMIF(Сезонность!$B$1:$M$1,MONTH(Выручка!BA$3),Сезонность!$B$6:$M$6)/1000</f>
        <v>29374.734375000007</v>
      </c>
      <c r="BB16" s="101">
        <f>'Объемы реализации'!BC15*Цены!BL15*SUMIF(Сезонность!$B$1:$M$1,MONTH(Выручка!BB$3),Сезонность!$B$6:$M$6)/1000</f>
        <v>30843.471093750006</v>
      </c>
      <c r="BC16" s="101">
        <f>'Объемы реализации'!BD15*Цены!BM15*SUMIF(Сезонность!$B$1:$M$1,MONTH(Выручка!BC$3),Сезонность!$B$6:$M$6)/1000</f>
        <v>30843.471093750006</v>
      </c>
      <c r="BD16" s="101">
        <f>'Объемы реализации'!BE15*Цены!BN15*SUMIF(Сезонность!$B$1:$M$1,MONTH(Выручка!BD$3),Сезонность!$B$6:$M$6)/1000</f>
        <v>30843.471093750006</v>
      </c>
      <c r="BE16" s="101">
        <f>'Объемы реализации'!BF15*Цены!BO15*SUMIF(Сезонность!$B$1:$M$1,MONTH(Выручка!BE$3),Сезонность!$B$6:$M$6)/1000</f>
        <v>30843.471093750006</v>
      </c>
      <c r="BF16" s="101">
        <f>'Объемы реализации'!BG15*Цены!BP15*SUMIF(Сезонность!$B$1:$M$1,MONTH(Выручка!BF$3),Сезонность!$B$6:$M$6)/1000</f>
        <v>30843.471093750006</v>
      </c>
      <c r="BG16" s="101">
        <f>'Объемы реализации'!BH15*Цены!BQ15*SUMIF(Сезонность!$B$1:$M$1,MONTH(Выручка!BG$3),Сезонность!$B$6:$M$6)/1000</f>
        <v>30843.471093750006</v>
      </c>
      <c r="BH16" s="101">
        <f>'Объемы реализации'!BI15*Цены!BR15*SUMIF(Сезонность!$B$1:$M$1,MONTH(Выручка!BH$3),Сезонность!$B$6:$M$6)/1000</f>
        <v>30843.471093750006</v>
      </c>
      <c r="BI16" s="101">
        <f>'Объемы реализации'!BJ15*Цены!BS15*SUMIF(Сезонность!$B$1:$M$1,MONTH(Выручка!BI$3),Сезонность!$B$6:$M$6)/1000</f>
        <v>30843.471093750006</v>
      </c>
      <c r="BK16" s="101">
        <f t="shared" si="40"/>
        <v>4833.3333333333339</v>
      </c>
      <c r="BL16" s="101">
        <f t="shared" si="40"/>
        <v>274050.00000000006</v>
      </c>
      <c r="BM16" s="101">
        <f t="shared" si="40"/>
        <v>319725.00000000006</v>
      </c>
      <c r="BN16" s="101">
        <f t="shared" si="40"/>
        <v>335711.25000000006</v>
      </c>
      <c r="BO16" s="101">
        <f t="shared" si="40"/>
        <v>352496.81250000006</v>
      </c>
      <c r="BP16" s="101">
        <f t="shared" si="40"/>
        <v>246747.76875000005</v>
      </c>
      <c r="BQ16" s="101">
        <f t="shared" si="41"/>
        <v>1533564.1645833335</v>
      </c>
      <c r="BR16" s="226">
        <f t="shared" si="42"/>
        <v>9.9937969536149973E-2</v>
      </c>
    </row>
    <row r="17" spans="1:70">
      <c r="A17" s="30" t="str">
        <f>Допущения!A28</f>
        <v>-</v>
      </c>
      <c r="B17" s="101">
        <f>'Объемы реализации'!C16*Цены!L16*SUMIF(Сезонность!$B$1:$M$1,MONTH(Выручка!B$3),Сезонность!$B$6:$M$6)/1000</f>
        <v>0</v>
      </c>
      <c r="C17" s="101">
        <f>'Объемы реализации'!D16*Цены!M16*SUMIF(Сезонность!$B$1:$M$1,MONTH(Выручка!C$3),Сезонность!$B$6:$M$6)/1000</f>
        <v>0</v>
      </c>
      <c r="D17" s="101">
        <f>'Объемы реализации'!E16*Цены!N16*SUMIF(Сезонность!$B$1:$M$1,MONTH(Выручка!D$3),Сезонность!$B$6:$M$6)/1000</f>
        <v>0</v>
      </c>
      <c r="E17" s="101">
        <f>'Объемы реализации'!F16*Цены!O16*SUMIF(Сезонность!$B$1:$M$1,MONTH(Выручка!E$3),Сезонность!$B$6:$M$6)/1000</f>
        <v>0</v>
      </c>
      <c r="F17" s="101">
        <f>'Объемы реализации'!G16*Цены!P16*SUMIF(Сезонность!$B$1:$M$1,MONTH(Выручка!F$3),Сезонность!$B$6:$M$6)/1000</f>
        <v>0</v>
      </c>
      <c r="G17" s="101">
        <f>'Объемы реализации'!H16*Цены!Q16*SUMIF(Сезонность!$B$1:$M$1,MONTH(Выручка!G$3),Сезонность!$B$6:$M$6)/1000</f>
        <v>0</v>
      </c>
      <c r="H17" s="101">
        <f>'Объемы реализации'!I16*Цены!R16*SUMIF(Сезонность!$B$1:$M$1,MONTH(Выручка!H$3),Сезонность!$B$6:$M$6)/1000</f>
        <v>0</v>
      </c>
      <c r="I17" s="101">
        <f>'Объемы реализации'!J16*Цены!S16*SUMIF(Сезонность!$B$1:$M$1,MONTH(Выручка!I$3),Сезонность!$B$6:$M$6)/1000</f>
        <v>0</v>
      </c>
      <c r="J17" s="101">
        <f>'Объемы реализации'!K16*Цены!T16*SUMIF(Сезонность!$B$1:$M$1,MONTH(Выручка!J$3),Сезонность!$B$6:$M$6)/1000</f>
        <v>0</v>
      </c>
      <c r="K17" s="101">
        <f>'Объемы реализации'!L16*Цены!U16*SUMIF(Сезонность!$B$1:$M$1,MONTH(Выручка!K$3),Сезонность!$B$6:$M$6)/1000</f>
        <v>0</v>
      </c>
      <c r="L17" s="101">
        <f>'Объемы реализации'!M16*Цены!V16*SUMIF(Сезонность!$B$1:$M$1,MONTH(Выручка!L$3),Сезонность!$B$6:$M$6)/1000</f>
        <v>0</v>
      </c>
      <c r="M17" s="101">
        <f>'Объемы реализации'!N16*Цены!W16*SUMIF(Сезонность!$B$1:$M$1,MONTH(Выручка!M$3),Сезонность!$B$6:$M$6)/1000</f>
        <v>0</v>
      </c>
      <c r="N17" s="101">
        <f>'Объемы реализации'!O16*Цены!X16*SUMIF(Сезонность!$B$1:$M$1,MONTH(Выручка!N$3),Сезонность!$B$6:$M$6)/1000</f>
        <v>0</v>
      </c>
      <c r="O17" s="101">
        <f>'Объемы реализации'!P16*Цены!Y16*SUMIF(Сезонность!$B$1:$M$1,MONTH(Выручка!O$3),Сезонность!$B$6:$M$6)/1000</f>
        <v>0</v>
      </c>
      <c r="P17" s="101">
        <f>'Объемы реализации'!Q16*Цены!Z16*SUMIF(Сезонность!$B$1:$M$1,MONTH(Выручка!P$3),Сезонность!$B$6:$M$6)/1000</f>
        <v>0</v>
      </c>
      <c r="Q17" s="101">
        <f>'Объемы реализации'!R16*Цены!AA16*SUMIF(Сезонность!$B$1:$M$1,MONTH(Выручка!Q$3),Сезонность!$B$6:$M$6)/1000</f>
        <v>0</v>
      </c>
      <c r="R17" s="101">
        <f>'Объемы реализации'!S16*Цены!AB16*SUMIF(Сезонность!$B$1:$M$1,MONTH(Выручка!R$3),Сезонность!$B$6:$M$6)/1000</f>
        <v>0</v>
      </c>
      <c r="S17" s="101">
        <f>'Объемы реализации'!T16*Цены!AC16*SUMIF(Сезонность!$B$1:$M$1,MONTH(Выручка!S$3),Сезонность!$B$6:$M$6)/1000</f>
        <v>0</v>
      </c>
      <c r="T17" s="101">
        <f>'Объемы реализации'!U16*Цены!AD16*SUMIF(Сезонность!$B$1:$M$1,MONTH(Выручка!T$3),Сезонность!$B$6:$M$6)/1000</f>
        <v>0</v>
      </c>
      <c r="U17" s="101">
        <f>'Объемы реализации'!V16*Цены!AE16*SUMIF(Сезонность!$B$1:$M$1,MONTH(Выручка!U$3),Сезонность!$B$6:$M$6)/1000</f>
        <v>0</v>
      </c>
      <c r="V17" s="101">
        <f>'Объемы реализации'!W16*Цены!AF16*SUMIF(Сезонность!$B$1:$M$1,MONTH(Выручка!V$3),Сезонность!$B$6:$M$6)/1000</f>
        <v>0</v>
      </c>
      <c r="W17" s="101">
        <f>'Объемы реализации'!X16*Цены!AG16*SUMIF(Сезонность!$B$1:$M$1,MONTH(Выручка!W$3),Сезонность!$B$6:$M$6)/1000</f>
        <v>0</v>
      </c>
      <c r="X17" s="101">
        <f>'Объемы реализации'!Y16*Цены!AH16*SUMIF(Сезонность!$B$1:$M$1,MONTH(Выручка!X$3),Сезонность!$B$6:$M$6)/1000</f>
        <v>0</v>
      </c>
      <c r="Y17" s="101">
        <f>'Объемы реализации'!Z16*Цены!AI16*SUMIF(Сезонность!$B$1:$M$1,MONTH(Выручка!Y$3),Сезонность!$B$6:$M$6)/1000</f>
        <v>0</v>
      </c>
      <c r="Z17" s="101">
        <f>'Объемы реализации'!AA16*Цены!AJ16*SUMIF(Сезонность!$B$1:$M$1,MONTH(Выручка!Z$3),Сезонность!$B$6:$M$6)/1000</f>
        <v>0</v>
      </c>
      <c r="AA17" s="101">
        <f>'Объемы реализации'!AB16*Цены!AK16*SUMIF(Сезонность!$B$1:$M$1,MONTH(Выручка!AA$3),Сезонность!$B$6:$M$6)/1000</f>
        <v>0</v>
      </c>
      <c r="AB17" s="101">
        <f>'Объемы реализации'!AC16*Цены!AL16*SUMIF(Сезонность!$B$1:$M$1,MONTH(Выручка!AB$3),Сезонность!$B$6:$M$6)/1000</f>
        <v>0</v>
      </c>
      <c r="AC17" s="101">
        <f>'Объемы реализации'!AD16*Цены!AM16*SUMIF(Сезонность!$B$1:$M$1,MONTH(Выручка!AC$3),Сезонность!$B$6:$M$6)/1000</f>
        <v>0</v>
      </c>
      <c r="AD17" s="101">
        <f>'Объемы реализации'!AE16*Цены!AN16*SUMIF(Сезонность!$B$1:$M$1,MONTH(Выручка!AD$3),Сезонность!$B$6:$M$6)/1000</f>
        <v>0</v>
      </c>
      <c r="AE17" s="101">
        <f>'Объемы реализации'!AF16*Цены!AO16*SUMIF(Сезонность!$B$1:$M$1,MONTH(Выручка!AE$3),Сезонность!$B$6:$M$6)/1000</f>
        <v>0</v>
      </c>
      <c r="AF17" s="101">
        <f>'Объемы реализации'!AG16*Цены!AP16*SUMIF(Сезонность!$B$1:$M$1,MONTH(Выручка!AF$3),Сезонность!$B$6:$M$6)/1000</f>
        <v>0</v>
      </c>
      <c r="AG17" s="101">
        <f>'Объемы реализации'!AH16*Цены!AQ16*SUMIF(Сезонность!$B$1:$M$1,MONTH(Выручка!AG$3),Сезонность!$B$6:$M$6)/1000</f>
        <v>0</v>
      </c>
      <c r="AH17" s="101">
        <f>'Объемы реализации'!AI16*Цены!AR16*SUMIF(Сезонность!$B$1:$M$1,MONTH(Выручка!AH$3),Сезонность!$B$6:$M$6)/1000</f>
        <v>0</v>
      </c>
      <c r="AI17" s="101">
        <f>'Объемы реализации'!AJ16*Цены!AS16*SUMIF(Сезонность!$B$1:$M$1,MONTH(Выручка!AI$3),Сезонность!$B$6:$M$6)/1000</f>
        <v>0</v>
      </c>
      <c r="AJ17" s="101">
        <f>'Объемы реализации'!AK16*Цены!AT16*SUMIF(Сезонность!$B$1:$M$1,MONTH(Выручка!AJ$3),Сезонность!$B$6:$M$6)/1000</f>
        <v>0</v>
      </c>
      <c r="AK17" s="101">
        <f>'Объемы реализации'!AL16*Цены!AU16*SUMIF(Сезонность!$B$1:$M$1,MONTH(Выручка!AK$3),Сезонность!$B$6:$M$6)/1000</f>
        <v>0</v>
      </c>
      <c r="AL17" s="101">
        <f>'Объемы реализации'!AM16*Цены!AV16*SUMIF(Сезонность!$B$1:$M$1,MONTH(Выручка!AL$3),Сезонность!$B$6:$M$6)/1000</f>
        <v>0</v>
      </c>
      <c r="AM17" s="101">
        <f>'Объемы реализации'!AN16*Цены!AW16*SUMIF(Сезонность!$B$1:$M$1,MONTH(Выручка!AM$3),Сезонность!$B$6:$M$6)/1000</f>
        <v>0</v>
      </c>
      <c r="AN17" s="101">
        <f>'Объемы реализации'!AO16*Цены!AX16*SUMIF(Сезонность!$B$1:$M$1,MONTH(Выручка!AN$3),Сезонность!$B$6:$M$6)/1000</f>
        <v>0</v>
      </c>
      <c r="AO17" s="101">
        <f>'Объемы реализации'!AP16*Цены!AY16*SUMIF(Сезонность!$B$1:$M$1,MONTH(Выручка!AO$3),Сезонность!$B$6:$M$6)/1000</f>
        <v>0</v>
      </c>
      <c r="AP17" s="101">
        <f>'Объемы реализации'!AQ16*Цены!AZ16*SUMIF(Сезонность!$B$1:$M$1,MONTH(Выручка!AP$3),Сезонность!$B$6:$M$6)/1000</f>
        <v>0</v>
      </c>
      <c r="AQ17" s="101">
        <f>'Объемы реализации'!AR16*Цены!BA16*SUMIF(Сезонность!$B$1:$M$1,MONTH(Выручка!AQ$3),Сезонность!$B$6:$M$6)/1000</f>
        <v>0</v>
      </c>
      <c r="AR17" s="101">
        <f>'Объемы реализации'!AS16*Цены!BB16*SUMIF(Сезонность!$B$1:$M$1,MONTH(Выручка!AR$3),Сезонность!$B$6:$M$6)/1000</f>
        <v>0</v>
      </c>
      <c r="AS17" s="101">
        <f>'Объемы реализации'!AT16*Цены!BC16*SUMIF(Сезонность!$B$1:$M$1,MONTH(Выручка!AS$3),Сезонность!$B$6:$M$6)/1000</f>
        <v>0</v>
      </c>
      <c r="AT17" s="101">
        <f>'Объемы реализации'!AU16*Цены!BD16*SUMIF(Сезонность!$B$1:$M$1,MONTH(Выручка!AT$3),Сезонность!$B$6:$M$6)/1000</f>
        <v>0</v>
      </c>
      <c r="AU17" s="101">
        <f>'Объемы реализации'!AV16*Цены!BE16*SUMIF(Сезонность!$B$1:$M$1,MONTH(Выручка!AU$3),Сезонность!$B$6:$M$6)/1000</f>
        <v>0</v>
      </c>
      <c r="AV17" s="101">
        <f>'Объемы реализации'!AW16*Цены!BF16*SUMIF(Сезонность!$B$1:$M$1,MONTH(Выручка!AV$3),Сезонность!$B$6:$M$6)/1000</f>
        <v>0</v>
      </c>
      <c r="AW17" s="101">
        <f>'Объемы реализации'!AX16*Цены!BG16*SUMIF(Сезонность!$B$1:$M$1,MONTH(Выручка!AW$3),Сезонность!$B$6:$M$6)/1000</f>
        <v>0</v>
      </c>
      <c r="AX17" s="101">
        <f>'Объемы реализации'!AY16*Цены!BH16*SUMIF(Сезонность!$B$1:$M$1,MONTH(Выручка!AX$3),Сезонность!$B$6:$M$6)/1000</f>
        <v>0</v>
      </c>
      <c r="AY17" s="101">
        <f>'Объемы реализации'!AZ16*Цены!BI16*SUMIF(Сезонность!$B$1:$M$1,MONTH(Выручка!AY$3),Сезонность!$B$6:$M$6)/1000</f>
        <v>0</v>
      </c>
      <c r="AZ17" s="101">
        <f>'Объемы реализации'!BA16*Цены!BJ16*SUMIF(Сезонность!$B$1:$M$1,MONTH(Выручка!AZ$3),Сезонность!$B$6:$M$6)/1000</f>
        <v>0</v>
      </c>
      <c r="BA17" s="101">
        <f>'Объемы реализации'!BB16*Цены!BK16*SUMIF(Сезонность!$B$1:$M$1,MONTH(Выручка!BA$3),Сезонность!$B$6:$M$6)/1000</f>
        <v>0</v>
      </c>
      <c r="BB17" s="101">
        <f>'Объемы реализации'!BC16*Цены!BL16*SUMIF(Сезонность!$B$1:$M$1,MONTH(Выручка!BB$3),Сезонность!$B$6:$M$6)/1000</f>
        <v>0</v>
      </c>
      <c r="BC17" s="101">
        <f>'Объемы реализации'!BD16*Цены!BM16*SUMIF(Сезонность!$B$1:$M$1,MONTH(Выручка!BC$3),Сезонность!$B$6:$M$6)/1000</f>
        <v>0</v>
      </c>
      <c r="BD17" s="101">
        <f>'Объемы реализации'!BE16*Цены!BN16*SUMIF(Сезонность!$B$1:$M$1,MONTH(Выручка!BD$3),Сезонность!$B$6:$M$6)/1000</f>
        <v>0</v>
      </c>
      <c r="BE17" s="101">
        <f>'Объемы реализации'!BF16*Цены!BO16*SUMIF(Сезонность!$B$1:$M$1,MONTH(Выручка!BE$3),Сезонность!$B$6:$M$6)/1000</f>
        <v>0</v>
      </c>
      <c r="BF17" s="101">
        <f>'Объемы реализации'!BG16*Цены!BP16*SUMIF(Сезонность!$B$1:$M$1,MONTH(Выручка!BF$3),Сезонность!$B$6:$M$6)/1000</f>
        <v>0</v>
      </c>
      <c r="BG17" s="101">
        <f>'Объемы реализации'!BH16*Цены!BQ16*SUMIF(Сезонность!$B$1:$M$1,MONTH(Выручка!BG$3),Сезонность!$B$6:$M$6)/1000</f>
        <v>0</v>
      </c>
      <c r="BH17" s="101">
        <f>'Объемы реализации'!BI16*Цены!BR16*SUMIF(Сезонность!$B$1:$M$1,MONTH(Выручка!BH$3),Сезонность!$B$6:$M$6)/1000</f>
        <v>0</v>
      </c>
      <c r="BI17" s="101">
        <f>'Объемы реализации'!BJ16*Цены!BS16*SUMIF(Сезонность!$B$1:$M$1,MONTH(Выручка!BI$3),Сезонность!$B$6:$M$6)/1000</f>
        <v>0</v>
      </c>
      <c r="BK17" s="101">
        <f t="shared" si="40"/>
        <v>0</v>
      </c>
      <c r="BL17" s="101">
        <f t="shared" si="40"/>
        <v>0</v>
      </c>
      <c r="BM17" s="101">
        <f t="shared" si="40"/>
        <v>0</v>
      </c>
      <c r="BN17" s="101">
        <f t="shared" si="40"/>
        <v>0</v>
      </c>
      <c r="BO17" s="101">
        <f t="shared" si="40"/>
        <v>0</v>
      </c>
      <c r="BP17" s="101">
        <f t="shared" si="40"/>
        <v>0</v>
      </c>
      <c r="BQ17" s="101">
        <f t="shared" si="41"/>
        <v>0</v>
      </c>
      <c r="BR17" s="226">
        <f t="shared" si="42"/>
        <v>0</v>
      </c>
    </row>
    <row r="18" spans="1:70">
      <c r="A18" s="30" t="str">
        <f>Допущения!A29</f>
        <v>-</v>
      </c>
      <c r="B18" s="101">
        <f>'Объемы реализации'!C17*Цены!L17*SUMIF(Сезонность!$B$1:$M$1,MONTH(Выручка!B$3),Сезонность!$B$6:$M$6)/1000</f>
        <v>0</v>
      </c>
      <c r="C18" s="101">
        <f>'Объемы реализации'!D17*Цены!M17*SUMIF(Сезонность!$B$1:$M$1,MONTH(Выручка!C$3),Сезонность!$B$6:$M$6)/1000</f>
        <v>0</v>
      </c>
      <c r="D18" s="101">
        <f>'Объемы реализации'!E17*Цены!N17*SUMIF(Сезонность!$B$1:$M$1,MONTH(Выручка!D$3),Сезонность!$B$6:$M$6)/1000</f>
        <v>0</v>
      </c>
      <c r="E18" s="101">
        <f>'Объемы реализации'!F17*Цены!O17*SUMIF(Сезонность!$B$1:$M$1,MONTH(Выручка!E$3),Сезонность!$B$6:$M$6)/1000</f>
        <v>0</v>
      </c>
      <c r="F18" s="101">
        <f>'Объемы реализации'!G17*Цены!P17*SUMIF(Сезонность!$B$1:$M$1,MONTH(Выручка!F$3),Сезонность!$B$6:$M$6)/1000</f>
        <v>0</v>
      </c>
      <c r="G18" s="101">
        <f>'Объемы реализации'!H17*Цены!Q17*SUMIF(Сезонность!$B$1:$M$1,MONTH(Выручка!G$3),Сезонность!$B$6:$M$6)/1000</f>
        <v>0</v>
      </c>
      <c r="H18" s="101">
        <f>'Объемы реализации'!I17*Цены!R17*SUMIF(Сезонность!$B$1:$M$1,MONTH(Выручка!H$3),Сезонность!$B$6:$M$6)/1000</f>
        <v>0</v>
      </c>
      <c r="I18" s="101">
        <f>'Объемы реализации'!J17*Цены!S17*SUMIF(Сезонность!$B$1:$M$1,MONTH(Выручка!I$3),Сезонность!$B$6:$M$6)/1000</f>
        <v>0</v>
      </c>
      <c r="J18" s="101">
        <f>'Объемы реализации'!K17*Цены!T17*SUMIF(Сезонность!$B$1:$M$1,MONTH(Выручка!J$3),Сезонность!$B$6:$M$6)/1000</f>
        <v>0</v>
      </c>
      <c r="K18" s="101">
        <f>'Объемы реализации'!L17*Цены!U17*SUMIF(Сезонность!$B$1:$M$1,MONTH(Выручка!K$3),Сезонность!$B$6:$M$6)/1000</f>
        <v>0</v>
      </c>
      <c r="L18" s="101">
        <f>'Объемы реализации'!M17*Цены!V17*SUMIF(Сезонность!$B$1:$M$1,MONTH(Выручка!L$3),Сезонность!$B$6:$M$6)/1000</f>
        <v>0</v>
      </c>
      <c r="M18" s="101">
        <f>'Объемы реализации'!N17*Цены!W17*SUMIF(Сезонность!$B$1:$M$1,MONTH(Выручка!M$3),Сезонность!$B$6:$M$6)/1000</f>
        <v>0</v>
      </c>
      <c r="N18" s="101">
        <f>'Объемы реализации'!O17*Цены!X17*SUMIF(Сезонность!$B$1:$M$1,MONTH(Выручка!N$3),Сезонность!$B$6:$M$6)/1000</f>
        <v>0</v>
      </c>
      <c r="O18" s="101">
        <f>'Объемы реализации'!P17*Цены!Y17*SUMIF(Сезонность!$B$1:$M$1,MONTH(Выручка!O$3),Сезонность!$B$6:$M$6)/1000</f>
        <v>0</v>
      </c>
      <c r="P18" s="101">
        <f>'Объемы реализации'!Q17*Цены!Z17*SUMIF(Сезонность!$B$1:$M$1,MONTH(Выручка!P$3),Сезонность!$B$6:$M$6)/1000</f>
        <v>0</v>
      </c>
      <c r="Q18" s="101">
        <f>'Объемы реализации'!R17*Цены!AA17*SUMIF(Сезонность!$B$1:$M$1,MONTH(Выручка!Q$3),Сезонность!$B$6:$M$6)/1000</f>
        <v>0</v>
      </c>
      <c r="R18" s="101">
        <f>'Объемы реализации'!S17*Цены!AB17*SUMIF(Сезонность!$B$1:$M$1,MONTH(Выручка!R$3),Сезонность!$B$6:$M$6)/1000</f>
        <v>0</v>
      </c>
      <c r="S18" s="101">
        <f>'Объемы реализации'!T17*Цены!AC17*SUMIF(Сезонность!$B$1:$M$1,MONTH(Выручка!S$3),Сезонность!$B$6:$M$6)/1000</f>
        <v>0</v>
      </c>
      <c r="T18" s="101">
        <f>'Объемы реализации'!U17*Цены!AD17*SUMIF(Сезонность!$B$1:$M$1,MONTH(Выручка!T$3),Сезонность!$B$6:$M$6)/1000</f>
        <v>0</v>
      </c>
      <c r="U18" s="101">
        <f>'Объемы реализации'!V17*Цены!AE17*SUMIF(Сезонность!$B$1:$M$1,MONTH(Выручка!U$3),Сезонность!$B$6:$M$6)/1000</f>
        <v>0</v>
      </c>
      <c r="V18" s="101">
        <f>'Объемы реализации'!W17*Цены!AF17*SUMIF(Сезонность!$B$1:$M$1,MONTH(Выручка!V$3),Сезонность!$B$6:$M$6)/1000</f>
        <v>0</v>
      </c>
      <c r="W18" s="101">
        <f>'Объемы реализации'!X17*Цены!AG17*SUMIF(Сезонность!$B$1:$M$1,MONTH(Выручка!W$3),Сезонность!$B$6:$M$6)/1000</f>
        <v>0</v>
      </c>
      <c r="X18" s="101">
        <f>'Объемы реализации'!Y17*Цены!AH17*SUMIF(Сезонность!$B$1:$M$1,MONTH(Выручка!X$3),Сезонность!$B$6:$M$6)/1000</f>
        <v>0</v>
      </c>
      <c r="Y18" s="101">
        <f>'Объемы реализации'!Z17*Цены!AI17*SUMIF(Сезонность!$B$1:$M$1,MONTH(Выручка!Y$3),Сезонность!$B$6:$M$6)/1000</f>
        <v>0</v>
      </c>
      <c r="Z18" s="101">
        <f>'Объемы реализации'!AA17*Цены!AJ17*SUMIF(Сезонность!$B$1:$M$1,MONTH(Выручка!Z$3),Сезонность!$B$6:$M$6)/1000</f>
        <v>0</v>
      </c>
      <c r="AA18" s="101">
        <f>'Объемы реализации'!AB17*Цены!AK17*SUMIF(Сезонность!$B$1:$M$1,MONTH(Выручка!AA$3),Сезонность!$B$6:$M$6)/1000</f>
        <v>0</v>
      </c>
      <c r="AB18" s="101">
        <f>'Объемы реализации'!AC17*Цены!AL17*SUMIF(Сезонность!$B$1:$M$1,MONTH(Выручка!AB$3),Сезонность!$B$6:$M$6)/1000</f>
        <v>0</v>
      </c>
      <c r="AC18" s="101">
        <f>'Объемы реализации'!AD17*Цены!AM17*SUMIF(Сезонность!$B$1:$M$1,MONTH(Выручка!AC$3),Сезонность!$B$6:$M$6)/1000</f>
        <v>0</v>
      </c>
      <c r="AD18" s="101">
        <f>'Объемы реализации'!AE17*Цены!AN17*SUMIF(Сезонность!$B$1:$M$1,MONTH(Выручка!AD$3),Сезонность!$B$6:$M$6)/1000</f>
        <v>0</v>
      </c>
      <c r="AE18" s="101">
        <f>'Объемы реализации'!AF17*Цены!AO17*SUMIF(Сезонность!$B$1:$M$1,MONTH(Выручка!AE$3),Сезонность!$B$6:$M$6)/1000</f>
        <v>0</v>
      </c>
      <c r="AF18" s="101">
        <f>'Объемы реализации'!AG17*Цены!AP17*SUMIF(Сезонность!$B$1:$M$1,MONTH(Выручка!AF$3),Сезонность!$B$6:$M$6)/1000</f>
        <v>0</v>
      </c>
      <c r="AG18" s="101">
        <f>'Объемы реализации'!AH17*Цены!AQ17*SUMIF(Сезонность!$B$1:$M$1,MONTH(Выручка!AG$3),Сезонность!$B$6:$M$6)/1000</f>
        <v>0</v>
      </c>
      <c r="AH18" s="101">
        <f>'Объемы реализации'!AI17*Цены!AR17*SUMIF(Сезонность!$B$1:$M$1,MONTH(Выручка!AH$3),Сезонность!$B$6:$M$6)/1000</f>
        <v>0</v>
      </c>
      <c r="AI18" s="101">
        <f>'Объемы реализации'!AJ17*Цены!AS17*SUMIF(Сезонность!$B$1:$M$1,MONTH(Выручка!AI$3),Сезонность!$B$6:$M$6)/1000</f>
        <v>0</v>
      </c>
      <c r="AJ18" s="101">
        <f>'Объемы реализации'!AK17*Цены!AT17*SUMIF(Сезонность!$B$1:$M$1,MONTH(Выручка!AJ$3),Сезонность!$B$6:$M$6)/1000</f>
        <v>0</v>
      </c>
      <c r="AK18" s="101">
        <f>'Объемы реализации'!AL17*Цены!AU17*SUMIF(Сезонность!$B$1:$M$1,MONTH(Выручка!AK$3),Сезонность!$B$6:$M$6)/1000</f>
        <v>0</v>
      </c>
      <c r="AL18" s="101">
        <f>'Объемы реализации'!AM17*Цены!AV17*SUMIF(Сезонность!$B$1:$M$1,MONTH(Выручка!AL$3),Сезонность!$B$6:$M$6)/1000</f>
        <v>0</v>
      </c>
      <c r="AM18" s="101">
        <f>'Объемы реализации'!AN17*Цены!AW17*SUMIF(Сезонность!$B$1:$M$1,MONTH(Выручка!AM$3),Сезонность!$B$6:$M$6)/1000</f>
        <v>0</v>
      </c>
      <c r="AN18" s="101">
        <f>'Объемы реализации'!AO17*Цены!AX17*SUMIF(Сезонность!$B$1:$M$1,MONTH(Выручка!AN$3),Сезонность!$B$6:$M$6)/1000</f>
        <v>0</v>
      </c>
      <c r="AO18" s="101">
        <f>'Объемы реализации'!AP17*Цены!AY17*SUMIF(Сезонность!$B$1:$M$1,MONTH(Выручка!AO$3),Сезонность!$B$6:$M$6)/1000</f>
        <v>0</v>
      </c>
      <c r="AP18" s="101">
        <f>'Объемы реализации'!AQ17*Цены!AZ17*SUMIF(Сезонность!$B$1:$M$1,MONTH(Выручка!AP$3),Сезонность!$B$6:$M$6)/1000</f>
        <v>0</v>
      </c>
      <c r="AQ18" s="101">
        <f>'Объемы реализации'!AR17*Цены!BA17*SUMIF(Сезонность!$B$1:$M$1,MONTH(Выручка!AQ$3),Сезонность!$B$6:$M$6)/1000</f>
        <v>0</v>
      </c>
      <c r="AR18" s="101">
        <f>'Объемы реализации'!AS17*Цены!BB17*SUMIF(Сезонность!$B$1:$M$1,MONTH(Выручка!AR$3),Сезонность!$B$6:$M$6)/1000</f>
        <v>0</v>
      </c>
      <c r="AS18" s="101">
        <f>'Объемы реализации'!AT17*Цены!BC17*SUMIF(Сезонность!$B$1:$M$1,MONTH(Выручка!AS$3),Сезонность!$B$6:$M$6)/1000</f>
        <v>0</v>
      </c>
      <c r="AT18" s="101">
        <f>'Объемы реализации'!AU17*Цены!BD17*SUMIF(Сезонность!$B$1:$M$1,MONTH(Выручка!AT$3),Сезонность!$B$6:$M$6)/1000</f>
        <v>0</v>
      </c>
      <c r="AU18" s="101">
        <f>'Объемы реализации'!AV17*Цены!BE17*SUMIF(Сезонность!$B$1:$M$1,MONTH(Выручка!AU$3),Сезонность!$B$6:$M$6)/1000</f>
        <v>0</v>
      </c>
      <c r="AV18" s="101">
        <f>'Объемы реализации'!AW17*Цены!BF17*SUMIF(Сезонность!$B$1:$M$1,MONTH(Выручка!AV$3),Сезонность!$B$6:$M$6)/1000</f>
        <v>0</v>
      </c>
      <c r="AW18" s="101">
        <f>'Объемы реализации'!AX17*Цены!BG17*SUMIF(Сезонность!$B$1:$M$1,MONTH(Выручка!AW$3),Сезонность!$B$6:$M$6)/1000</f>
        <v>0</v>
      </c>
      <c r="AX18" s="101">
        <f>'Объемы реализации'!AY17*Цены!BH17*SUMIF(Сезонность!$B$1:$M$1,MONTH(Выручка!AX$3),Сезонность!$B$6:$M$6)/1000</f>
        <v>0</v>
      </c>
      <c r="AY18" s="101">
        <f>'Объемы реализации'!AZ17*Цены!BI17*SUMIF(Сезонность!$B$1:$M$1,MONTH(Выручка!AY$3),Сезонность!$B$6:$M$6)/1000</f>
        <v>0</v>
      </c>
      <c r="AZ18" s="101">
        <f>'Объемы реализации'!BA17*Цены!BJ17*SUMIF(Сезонность!$B$1:$M$1,MONTH(Выручка!AZ$3),Сезонность!$B$6:$M$6)/1000</f>
        <v>0</v>
      </c>
      <c r="BA18" s="101">
        <f>'Объемы реализации'!BB17*Цены!BK17*SUMIF(Сезонность!$B$1:$M$1,MONTH(Выручка!BA$3),Сезонность!$B$6:$M$6)/1000</f>
        <v>0</v>
      </c>
      <c r="BB18" s="101">
        <f>'Объемы реализации'!BC17*Цены!BL17*SUMIF(Сезонность!$B$1:$M$1,MONTH(Выручка!BB$3),Сезонность!$B$6:$M$6)/1000</f>
        <v>0</v>
      </c>
      <c r="BC18" s="101">
        <f>'Объемы реализации'!BD17*Цены!BM17*SUMIF(Сезонность!$B$1:$M$1,MONTH(Выручка!BC$3),Сезонность!$B$6:$M$6)/1000</f>
        <v>0</v>
      </c>
      <c r="BD18" s="101">
        <f>'Объемы реализации'!BE17*Цены!BN17*SUMIF(Сезонность!$B$1:$M$1,MONTH(Выручка!BD$3),Сезонность!$B$6:$M$6)/1000</f>
        <v>0</v>
      </c>
      <c r="BE18" s="101">
        <f>'Объемы реализации'!BF17*Цены!BO17*SUMIF(Сезонность!$B$1:$M$1,MONTH(Выручка!BE$3),Сезонность!$B$6:$M$6)/1000</f>
        <v>0</v>
      </c>
      <c r="BF18" s="101">
        <f>'Объемы реализации'!BG17*Цены!BP17*SUMIF(Сезонность!$B$1:$M$1,MONTH(Выручка!BF$3),Сезонность!$B$6:$M$6)/1000</f>
        <v>0</v>
      </c>
      <c r="BG18" s="101">
        <f>'Объемы реализации'!BH17*Цены!BQ17*SUMIF(Сезонность!$B$1:$M$1,MONTH(Выручка!BG$3),Сезонность!$B$6:$M$6)/1000</f>
        <v>0</v>
      </c>
      <c r="BH18" s="101">
        <f>'Объемы реализации'!BI17*Цены!BR17*SUMIF(Сезонность!$B$1:$M$1,MONTH(Выручка!BH$3),Сезонность!$B$6:$M$6)/1000</f>
        <v>0</v>
      </c>
      <c r="BI18" s="101">
        <f>'Объемы реализации'!BJ17*Цены!BS17*SUMIF(Сезонность!$B$1:$M$1,MONTH(Выручка!BI$3),Сезонность!$B$6:$M$6)/1000</f>
        <v>0</v>
      </c>
      <c r="BJ18" s="164"/>
      <c r="BK18" s="101">
        <f t="shared" si="40"/>
        <v>0</v>
      </c>
      <c r="BL18" s="101">
        <f t="shared" si="40"/>
        <v>0</v>
      </c>
      <c r="BM18" s="101">
        <f t="shared" si="40"/>
        <v>0</v>
      </c>
      <c r="BN18" s="101">
        <f t="shared" si="40"/>
        <v>0</v>
      </c>
      <c r="BO18" s="101">
        <f t="shared" si="40"/>
        <v>0</v>
      </c>
      <c r="BP18" s="101">
        <f t="shared" si="40"/>
        <v>0</v>
      </c>
      <c r="BQ18" s="101">
        <f t="shared" si="41"/>
        <v>0</v>
      </c>
      <c r="BR18" s="226">
        <f t="shared" si="42"/>
        <v>0</v>
      </c>
    </row>
    <row r="19" spans="1:70">
      <c r="A19" s="34" t="s">
        <v>11</v>
      </c>
      <c r="B19" s="165">
        <f t="shared" ref="B19:AG19" si="43">SUM(B9:B18)</f>
        <v>0</v>
      </c>
      <c r="C19" s="165">
        <f t="shared" si="43"/>
        <v>0</v>
      </c>
      <c r="D19" s="165">
        <f t="shared" si="43"/>
        <v>0</v>
      </c>
      <c r="E19" s="165">
        <f t="shared" si="43"/>
        <v>48363.333333333336</v>
      </c>
      <c r="F19" s="165">
        <f t="shared" si="43"/>
        <v>101563</v>
      </c>
      <c r="G19" s="165">
        <f t="shared" si="43"/>
        <v>152344.50000000003</v>
      </c>
      <c r="H19" s="165">
        <f t="shared" si="43"/>
        <v>203126</v>
      </c>
      <c r="I19" s="165">
        <f t="shared" si="43"/>
        <v>253907.50000000003</v>
      </c>
      <c r="J19" s="165">
        <f t="shared" si="43"/>
        <v>253907.50000000003</v>
      </c>
      <c r="K19" s="165">
        <f t="shared" si="43"/>
        <v>253907.50000000003</v>
      </c>
      <c r="L19" s="165">
        <f t="shared" si="43"/>
        <v>253907.50000000003</v>
      </c>
      <c r="M19" s="165">
        <f t="shared" si="43"/>
        <v>253907.50000000003</v>
      </c>
      <c r="N19" s="165">
        <f t="shared" si="43"/>
        <v>253907.50000000003</v>
      </c>
      <c r="O19" s="165">
        <f t="shared" si="43"/>
        <v>253907.50000000003</v>
      </c>
      <c r="P19" s="165">
        <f t="shared" si="43"/>
        <v>253907.50000000003</v>
      </c>
      <c r="Q19" s="165">
        <f t="shared" si="43"/>
        <v>253907.50000000003</v>
      </c>
      <c r="R19" s="165">
        <f t="shared" si="43"/>
        <v>266602.87500000006</v>
      </c>
      <c r="S19" s="165">
        <f t="shared" si="43"/>
        <v>266602.87500000006</v>
      </c>
      <c r="T19" s="165">
        <f t="shared" si="43"/>
        <v>266602.87500000006</v>
      </c>
      <c r="U19" s="165">
        <f t="shared" si="43"/>
        <v>266602.87500000006</v>
      </c>
      <c r="V19" s="165">
        <f t="shared" si="43"/>
        <v>266602.87500000006</v>
      </c>
      <c r="W19" s="165">
        <f t="shared" si="43"/>
        <v>266602.87500000006</v>
      </c>
      <c r="X19" s="165">
        <f t="shared" si="43"/>
        <v>266602.87500000006</v>
      </c>
      <c r="Y19" s="165">
        <f t="shared" si="43"/>
        <v>266602.87500000006</v>
      </c>
      <c r="Z19" s="165">
        <f t="shared" si="43"/>
        <v>266602.87500000006</v>
      </c>
      <c r="AA19" s="165">
        <f t="shared" si="43"/>
        <v>266602.87500000006</v>
      </c>
      <c r="AB19" s="165">
        <f t="shared" si="43"/>
        <v>266602.87500000006</v>
      </c>
      <c r="AC19" s="165">
        <f t="shared" si="43"/>
        <v>266602.87500000006</v>
      </c>
      <c r="AD19" s="165">
        <f t="shared" si="43"/>
        <v>279933.01875000005</v>
      </c>
      <c r="AE19" s="165">
        <f t="shared" si="43"/>
        <v>279933.01875000005</v>
      </c>
      <c r="AF19" s="165">
        <f t="shared" si="43"/>
        <v>279933.01875000005</v>
      </c>
      <c r="AG19" s="165">
        <f t="shared" si="43"/>
        <v>279933.01875000005</v>
      </c>
      <c r="AH19" s="165">
        <f t="shared" ref="AH19:BI19" si="44">SUM(AH9:AH18)</f>
        <v>279933.01875000005</v>
      </c>
      <c r="AI19" s="165">
        <f t="shared" si="44"/>
        <v>279933.01875000005</v>
      </c>
      <c r="AJ19" s="165">
        <f t="shared" si="44"/>
        <v>279933.01875000005</v>
      </c>
      <c r="AK19" s="165">
        <f t="shared" si="44"/>
        <v>279933.01875000005</v>
      </c>
      <c r="AL19" s="165">
        <f t="shared" si="44"/>
        <v>279933.01875000005</v>
      </c>
      <c r="AM19" s="165">
        <f t="shared" si="44"/>
        <v>279933.01875000005</v>
      </c>
      <c r="AN19" s="165">
        <f t="shared" si="44"/>
        <v>279933.01875000005</v>
      </c>
      <c r="AO19" s="165">
        <f t="shared" si="44"/>
        <v>279933.01875000005</v>
      </c>
      <c r="AP19" s="165">
        <f t="shared" si="44"/>
        <v>293929.66968750011</v>
      </c>
      <c r="AQ19" s="165">
        <f t="shared" si="44"/>
        <v>293929.66968750011</v>
      </c>
      <c r="AR19" s="165">
        <f t="shared" si="44"/>
        <v>293929.66968750011</v>
      </c>
      <c r="AS19" s="165">
        <f t="shared" si="44"/>
        <v>293929.66968750011</v>
      </c>
      <c r="AT19" s="165">
        <f t="shared" si="44"/>
        <v>293929.66968750011</v>
      </c>
      <c r="AU19" s="165">
        <f t="shared" si="44"/>
        <v>293929.66968750011</v>
      </c>
      <c r="AV19" s="165">
        <f t="shared" si="44"/>
        <v>293929.66968750011</v>
      </c>
      <c r="AW19" s="165">
        <f t="shared" si="44"/>
        <v>293929.66968750011</v>
      </c>
      <c r="AX19" s="165">
        <f t="shared" si="44"/>
        <v>293929.66968750011</v>
      </c>
      <c r="AY19" s="165">
        <f t="shared" si="44"/>
        <v>293929.66968750011</v>
      </c>
      <c r="AZ19" s="165">
        <f t="shared" si="44"/>
        <v>293929.66968750011</v>
      </c>
      <c r="BA19" s="165">
        <f t="shared" si="44"/>
        <v>293929.66968750011</v>
      </c>
      <c r="BB19" s="165">
        <f t="shared" si="44"/>
        <v>308626.15317187516</v>
      </c>
      <c r="BC19" s="165">
        <f t="shared" si="44"/>
        <v>308626.15317187516</v>
      </c>
      <c r="BD19" s="165">
        <f t="shared" si="44"/>
        <v>308626.15317187516</v>
      </c>
      <c r="BE19" s="165">
        <f t="shared" si="44"/>
        <v>308626.15317187516</v>
      </c>
      <c r="BF19" s="165">
        <f t="shared" si="44"/>
        <v>308626.15317187516</v>
      </c>
      <c r="BG19" s="165">
        <f t="shared" si="44"/>
        <v>308626.15317187516</v>
      </c>
      <c r="BH19" s="165">
        <f t="shared" si="44"/>
        <v>308626.15317187516</v>
      </c>
      <c r="BI19" s="165">
        <f t="shared" si="44"/>
        <v>308626.15317187516</v>
      </c>
      <c r="BJ19" s="164"/>
      <c r="BK19" s="165">
        <f t="shared" si="40"/>
        <v>48363.333333333336</v>
      </c>
      <c r="BL19" s="165">
        <f t="shared" ref="BL19:BP19" si="45">SUMIF($B$2:$BI$2,BL$2,$B19:$BI19)</f>
        <v>2742201</v>
      </c>
      <c r="BM19" s="165">
        <f t="shared" si="45"/>
        <v>3199234.5000000005</v>
      </c>
      <c r="BN19" s="165">
        <f t="shared" si="45"/>
        <v>3359196.2249999996</v>
      </c>
      <c r="BO19" s="165">
        <f t="shared" si="45"/>
        <v>3527156.0362500022</v>
      </c>
      <c r="BP19" s="165">
        <f t="shared" si="45"/>
        <v>2469009.2253750009</v>
      </c>
      <c r="BQ19" s="165">
        <f t="shared" si="41"/>
        <v>15345160.319958337</v>
      </c>
    </row>
    <row r="20" spans="1:70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</row>
    <row r="21" spans="1:70">
      <c r="B21" s="4" t="s">
        <v>247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 t="s">
        <v>237</v>
      </c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</row>
    <row r="22" spans="1:70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</row>
    <row r="23" spans="1:70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Q139"/>
  <sheetViews>
    <sheetView tabSelected="1" zoomScaleNormal="100" zoomScalePageLayoutView="150" workbookViewId="0">
      <pane xSplit="2" ySplit="5" topLeftCell="C33" activePane="bottomRight" state="frozen"/>
      <selection pane="topRight" activeCell="C1" sqref="C1"/>
      <selection pane="bottomLeft" activeCell="A6" sqref="A6"/>
      <selection pane="bottomRight" activeCell="B36" sqref="B36:B57"/>
    </sheetView>
  </sheetViews>
  <sheetFormatPr defaultColWidth="8.5703125" defaultRowHeight="13.9"/>
  <cols>
    <col min="1" max="1" width="44.42578125" style="1" customWidth="1"/>
    <col min="2" max="2" width="15.140625" style="1" customWidth="1"/>
    <col min="3" max="3" width="10.42578125" style="1" customWidth="1"/>
    <col min="4" max="18" width="8.5703125" style="1"/>
    <col min="19" max="19" width="11.35546875" style="1" customWidth="1"/>
    <col min="20" max="68" width="8.5703125" style="1"/>
    <col min="69" max="69" width="10.5703125" style="1" customWidth="1"/>
    <col min="70" max="16384" width="8.5703125" style="1"/>
  </cols>
  <sheetData>
    <row r="1" spans="1:69">
      <c r="A1" s="18" t="s">
        <v>6</v>
      </c>
      <c r="B1" s="18"/>
      <c r="C1" s="19">
        <f>IF(OR(MONTH(C3)=1,MONTH(C3)=2,MONTH(C3)=3),1,IF(OR(MONTH(C3)=4,MONTH(C3)=5,MONTH(C3)=6),2,IF(OR(MONTH(C3)=7,MONTH(C3)=8,MONTH(C3)=9),3,4)))</f>
        <v>3</v>
      </c>
      <c r="D1" s="19">
        <f>IF(OR(MONTH(D3)=1,MONTH(D3)=2,MONTH(D3)=3),1,IF(OR(MONTH(D3)=4,MONTH(D3)=5,MONTH(D3)=6),2,IF(OR(MONTH(D3)=7,MONTH(D3)=8,MONTH(D3)=9),3,4)))</f>
        <v>4</v>
      </c>
      <c r="E1" s="19">
        <f>IF(OR(MONTH(E3)=1,MONTH(E3)=2,MONTH(E3)=3),1,IF(OR(MONTH(E3)=4,MONTH(E3)=5,MONTH(E3)=6),2,IF(OR(MONTH(E3)=7,MONTH(E3)=8,MONTH(E3)=9),3,4)))</f>
        <v>4</v>
      </c>
      <c r="F1" s="19">
        <f t="shared" ref="F1:BJ1" si="0">IF(OR(MONTH(F3)=1,MONTH(F3)=2,MONTH(F3)=3),1,IF(OR(MONTH(F3)=4,MONTH(F3)=5,MONTH(F3)=6),2,IF(OR(MONTH(F3)=7,MONTH(F3)=8,MONTH(F3)=9),3,4)))</f>
        <v>4</v>
      </c>
      <c r="G1" s="19">
        <f t="shared" si="0"/>
        <v>1</v>
      </c>
      <c r="H1" s="19">
        <f t="shared" si="0"/>
        <v>1</v>
      </c>
      <c r="I1" s="19">
        <f t="shared" si="0"/>
        <v>1</v>
      </c>
      <c r="J1" s="19">
        <f t="shared" si="0"/>
        <v>2</v>
      </c>
      <c r="K1" s="19">
        <f t="shared" si="0"/>
        <v>2</v>
      </c>
      <c r="L1" s="19">
        <f t="shared" si="0"/>
        <v>2</v>
      </c>
      <c r="M1" s="19">
        <f t="shared" si="0"/>
        <v>3</v>
      </c>
      <c r="N1" s="19">
        <f t="shared" si="0"/>
        <v>3</v>
      </c>
      <c r="O1" s="19">
        <f t="shared" si="0"/>
        <v>3</v>
      </c>
      <c r="P1" s="19">
        <f t="shared" si="0"/>
        <v>4</v>
      </c>
      <c r="Q1" s="19">
        <f t="shared" si="0"/>
        <v>4</v>
      </c>
      <c r="R1" s="19">
        <f t="shared" si="0"/>
        <v>4</v>
      </c>
      <c r="S1" s="19">
        <f t="shared" si="0"/>
        <v>1</v>
      </c>
      <c r="T1" s="19">
        <f t="shared" si="0"/>
        <v>1</v>
      </c>
      <c r="U1" s="19">
        <f t="shared" si="0"/>
        <v>1</v>
      </c>
      <c r="V1" s="19">
        <f t="shared" si="0"/>
        <v>2</v>
      </c>
      <c r="W1" s="19">
        <f t="shared" si="0"/>
        <v>2</v>
      </c>
      <c r="X1" s="19">
        <f t="shared" si="0"/>
        <v>2</v>
      </c>
      <c r="Y1" s="19">
        <f t="shared" si="0"/>
        <v>3</v>
      </c>
      <c r="Z1" s="19">
        <f t="shared" si="0"/>
        <v>3</v>
      </c>
      <c r="AA1" s="19">
        <f t="shared" si="0"/>
        <v>3</v>
      </c>
      <c r="AB1" s="19">
        <f t="shared" si="0"/>
        <v>4</v>
      </c>
      <c r="AC1" s="19">
        <f t="shared" si="0"/>
        <v>4</v>
      </c>
      <c r="AD1" s="19">
        <f t="shared" si="0"/>
        <v>4</v>
      </c>
      <c r="AE1" s="19">
        <f t="shared" si="0"/>
        <v>1</v>
      </c>
      <c r="AF1" s="19">
        <f t="shared" si="0"/>
        <v>1</v>
      </c>
      <c r="AG1" s="19">
        <f t="shared" si="0"/>
        <v>1</v>
      </c>
      <c r="AH1" s="19">
        <f t="shared" si="0"/>
        <v>2</v>
      </c>
      <c r="AI1" s="19">
        <f t="shared" si="0"/>
        <v>2</v>
      </c>
      <c r="AJ1" s="19">
        <f t="shared" si="0"/>
        <v>2</v>
      </c>
      <c r="AK1" s="19">
        <f t="shared" si="0"/>
        <v>3</v>
      </c>
      <c r="AL1" s="19">
        <f t="shared" si="0"/>
        <v>3</v>
      </c>
      <c r="AM1" s="19">
        <f t="shared" si="0"/>
        <v>3</v>
      </c>
      <c r="AN1" s="19">
        <f t="shared" si="0"/>
        <v>4</v>
      </c>
      <c r="AO1" s="19">
        <f t="shared" si="0"/>
        <v>4</v>
      </c>
      <c r="AP1" s="19">
        <f t="shared" si="0"/>
        <v>4</v>
      </c>
      <c r="AQ1" s="19">
        <f t="shared" si="0"/>
        <v>1</v>
      </c>
      <c r="AR1" s="19">
        <f t="shared" si="0"/>
        <v>1</v>
      </c>
      <c r="AS1" s="19">
        <f t="shared" si="0"/>
        <v>1</v>
      </c>
      <c r="AT1" s="19">
        <f t="shared" si="0"/>
        <v>2</v>
      </c>
      <c r="AU1" s="19">
        <f t="shared" si="0"/>
        <v>2</v>
      </c>
      <c r="AV1" s="19">
        <f t="shared" si="0"/>
        <v>2</v>
      </c>
      <c r="AW1" s="19">
        <f t="shared" si="0"/>
        <v>3</v>
      </c>
      <c r="AX1" s="19">
        <f t="shared" si="0"/>
        <v>3</v>
      </c>
      <c r="AY1" s="19">
        <f t="shared" si="0"/>
        <v>3</v>
      </c>
      <c r="AZ1" s="19">
        <f t="shared" si="0"/>
        <v>4</v>
      </c>
      <c r="BA1" s="19">
        <f t="shared" si="0"/>
        <v>4</v>
      </c>
      <c r="BB1" s="19">
        <f t="shared" si="0"/>
        <v>4</v>
      </c>
      <c r="BC1" s="19">
        <f t="shared" si="0"/>
        <v>1</v>
      </c>
      <c r="BD1" s="19">
        <f t="shared" si="0"/>
        <v>1</v>
      </c>
      <c r="BE1" s="19">
        <f t="shared" si="0"/>
        <v>1</v>
      </c>
      <c r="BF1" s="19">
        <f t="shared" si="0"/>
        <v>2</v>
      </c>
      <c r="BG1" s="19">
        <f t="shared" si="0"/>
        <v>2</v>
      </c>
      <c r="BH1" s="19">
        <f t="shared" si="0"/>
        <v>2</v>
      </c>
      <c r="BI1" s="19">
        <f t="shared" si="0"/>
        <v>3</v>
      </c>
      <c r="BJ1" s="19">
        <f t="shared" si="0"/>
        <v>3</v>
      </c>
    </row>
    <row r="2" spans="1:69">
      <c r="A2" s="18" t="s">
        <v>7</v>
      </c>
      <c r="B2" s="18"/>
      <c r="C2" s="19">
        <f>YEAR(C3)</f>
        <v>2025</v>
      </c>
      <c r="D2" s="19">
        <f>YEAR(D3)</f>
        <v>2025</v>
      </c>
      <c r="E2" s="19">
        <f t="shared" ref="E2:BJ2" si="1">YEAR(E3)</f>
        <v>2025</v>
      </c>
      <c r="F2" s="19">
        <f t="shared" si="1"/>
        <v>2025</v>
      </c>
      <c r="G2" s="19">
        <f t="shared" si="1"/>
        <v>2026</v>
      </c>
      <c r="H2" s="19">
        <f t="shared" si="1"/>
        <v>2026</v>
      </c>
      <c r="I2" s="19">
        <f t="shared" si="1"/>
        <v>2026</v>
      </c>
      <c r="J2" s="19">
        <f t="shared" si="1"/>
        <v>2026</v>
      </c>
      <c r="K2" s="19">
        <f t="shared" si="1"/>
        <v>2026</v>
      </c>
      <c r="L2" s="19">
        <f t="shared" si="1"/>
        <v>2026</v>
      </c>
      <c r="M2" s="19">
        <f t="shared" si="1"/>
        <v>2026</v>
      </c>
      <c r="N2" s="19">
        <f t="shared" si="1"/>
        <v>2026</v>
      </c>
      <c r="O2" s="19">
        <f t="shared" si="1"/>
        <v>2026</v>
      </c>
      <c r="P2" s="19">
        <f t="shared" si="1"/>
        <v>2026</v>
      </c>
      <c r="Q2" s="19">
        <f t="shared" si="1"/>
        <v>2026</v>
      </c>
      <c r="R2" s="19">
        <f t="shared" si="1"/>
        <v>2026</v>
      </c>
      <c r="S2" s="19">
        <f t="shared" si="1"/>
        <v>2027</v>
      </c>
      <c r="T2" s="19">
        <f t="shared" si="1"/>
        <v>2027</v>
      </c>
      <c r="U2" s="19">
        <f t="shared" si="1"/>
        <v>2027</v>
      </c>
      <c r="V2" s="19">
        <f t="shared" si="1"/>
        <v>2027</v>
      </c>
      <c r="W2" s="19">
        <f t="shared" si="1"/>
        <v>2027</v>
      </c>
      <c r="X2" s="19">
        <f t="shared" si="1"/>
        <v>2027</v>
      </c>
      <c r="Y2" s="19">
        <f t="shared" si="1"/>
        <v>2027</v>
      </c>
      <c r="Z2" s="19">
        <f t="shared" si="1"/>
        <v>2027</v>
      </c>
      <c r="AA2" s="19">
        <f t="shared" si="1"/>
        <v>2027</v>
      </c>
      <c r="AB2" s="19">
        <f t="shared" si="1"/>
        <v>2027</v>
      </c>
      <c r="AC2" s="19">
        <f t="shared" si="1"/>
        <v>2027</v>
      </c>
      <c r="AD2" s="19">
        <f t="shared" si="1"/>
        <v>2027</v>
      </c>
      <c r="AE2" s="19">
        <f t="shared" si="1"/>
        <v>2028</v>
      </c>
      <c r="AF2" s="19">
        <f t="shared" si="1"/>
        <v>2028</v>
      </c>
      <c r="AG2" s="19">
        <f t="shared" si="1"/>
        <v>2028</v>
      </c>
      <c r="AH2" s="19">
        <f t="shared" si="1"/>
        <v>2028</v>
      </c>
      <c r="AI2" s="19">
        <f t="shared" si="1"/>
        <v>2028</v>
      </c>
      <c r="AJ2" s="19">
        <f t="shared" si="1"/>
        <v>2028</v>
      </c>
      <c r="AK2" s="19">
        <f t="shared" si="1"/>
        <v>2028</v>
      </c>
      <c r="AL2" s="19">
        <f t="shared" si="1"/>
        <v>2028</v>
      </c>
      <c r="AM2" s="19">
        <f t="shared" si="1"/>
        <v>2028</v>
      </c>
      <c r="AN2" s="19">
        <f t="shared" si="1"/>
        <v>2028</v>
      </c>
      <c r="AO2" s="19">
        <f t="shared" si="1"/>
        <v>2028</v>
      </c>
      <c r="AP2" s="19">
        <f t="shared" si="1"/>
        <v>2028</v>
      </c>
      <c r="AQ2" s="19">
        <f t="shared" si="1"/>
        <v>2029</v>
      </c>
      <c r="AR2" s="19">
        <f t="shared" si="1"/>
        <v>2029</v>
      </c>
      <c r="AS2" s="19">
        <f t="shared" si="1"/>
        <v>2029</v>
      </c>
      <c r="AT2" s="19">
        <f t="shared" si="1"/>
        <v>2029</v>
      </c>
      <c r="AU2" s="19">
        <f t="shared" si="1"/>
        <v>2029</v>
      </c>
      <c r="AV2" s="19">
        <f t="shared" si="1"/>
        <v>2029</v>
      </c>
      <c r="AW2" s="19">
        <f t="shared" si="1"/>
        <v>2029</v>
      </c>
      <c r="AX2" s="19">
        <f t="shared" si="1"/>
        <v>2029</v>
      </c>
      <c r="AY2" s="19">
        <f t="shared" si="1"/>
        <v>2029</v>
      </c>
      <c r="AZ2" s="19">
        <f t="shared" si="1"/>
        <v>2029</v>
      </c>
      <c r="BA2" s="19">
        <f t="shared" si="1"/>
        <v>2029</v>
      </c>
      <c r="BB2" s="19">
        <f t="shared" si="1"/>
        <v>2029</v>
      </c>
      <c r="BC2" s="19">
        <f t="shared" si="1"/>
        <v>2030</v>
      </c>
      <c r="BD2" s="19">
        <f t="shared" si="1"/>
        <v>2030</v>
      </c>
      <c r="BE2" s="19">
        <f t="shared" si="1"/>
        <v>2030</v>
      </c>
      <c r="BF2" s="19">
        <f t="shared" si="1"/>
        <v>2030</v>
      </c>
      <c r="BG2" s="19">
        <f t="shared" si="1"/>
        <v>2030</v>
      </c>
      <c r="BH2" s="19">
        <f t="shared" si="1"/>
        <v>2030</v>
      </c>
      <c r="BI2" s="19">
        <f t="shared" si="1"/>
        <v>2030</v>
      </c>
      <c r="BJ2" s="19">
        <f t="shared" si="1"/>
        <v>2030</v>
      </c>
      <c r="BL2" s="47">
        <f>YEAR(Допущения!$C$4)</f>
        <v>2025</v>
      </c>
      <c r="BM2" s="47">
        <f t="shared" ref="BM2:BO2" si="2">BL2+1</f>
        <v>2026</v>
      </c>
      <c r="BN2" s="47">
        <f t="shared" si="2"/>
        <v>2027</v>
      </c>
      <c r="BO2" s="47">
        <f t="shared" si="2"/>
        <v>2028</v>
      </c>
      <c r="BP2" s="47">
        <f t="shared" ref="BP2" si="3">BO2+1</f>
        <v>2029</v>
      </c>
      <c r="BQ2" s="47">
        <f t="shared" ref="BQ2" si="4">BP2+1</f>
        <v>2030</v>
      </c>
    </row>
    <row r="3" spans="1:69">
      <c r="A3" s="18" t="s">
        <v>8</v>
      </c>
      <c r="B3" s="18"/>
      <c r="C3" s="20">
        <f>Допущения!$C$4</f>
        <v>45901</v>
      </c>
      <c r="D3" s="20">
        <f t="shared" ref="D3:BK3" si="5">DATE(YEAR(C3),MONTH(C3)+1,1)</f>
        <v>45931</v>
      </c>
      <c r="E3" s="20">
        <f t="shared" si="5"/>
        <v>45962</v>
      </c>
      <c r="F3" s="20">
        <f t="shared" si="5"/>
        <v>45992</v>
      </c>
      <c r="G3" s="20">
        <f t="shared" si="5"/>
        <v>46023</v>
      </c>
      <c r="H3" s="20">
        <f t="shared" si="5"/>
        <v>46054</v>
      </c>
      <c r="I3" s="20">
        <f t="shared" si="5"/>
        <v>46082</v>
      </c>
      <c r="J3" s="20">
        <f t="shared" si="5"/>
        <v>46113</v>
      </c>
      <c r="K3" s="20">
        <f t="shared" si="5"/>
        <v>46143</v>
      </c>
      <c r="L3" s="20">
        <f t="shared" si="5"/>
        <v>46174</v>
      </c>
      <c r="M3" s="20">
        <f t="shared" si="5"/>
        <v>46204</v>
      </c>
      <c r="N3" s="20">
        <f t="shared" si="5"/>
        <v>46235</v>
      </c>
      <c r="O3" s="20">
        <f t="shared" si="5"/>
        <v>46266</v>
      </c>
      <c r="P3" s="20">
        <f t="shared" si="5"/>
        <v>46296</v>
      </c>
      <c r="Q3" s="20">
        <f t="shared" si="5"/>
        <v>46327</v>
      </c>
      <c r="R3" s="20">
        <f t="shared" si="5"/>
        <v>46357</v>
      </c>
      <c r="S3" s="20">
        <f t="shared" si="5"/>
        <v>46388</v>
      </c>
      <c r="T3" s="20">
        <f t="shared" si="5"/>
        <v>46419</v>
      </c>
      <c r="U3" s="20">
        <f t="shared" si="5"/>
        <v>46447</v>
      </c>
      <c r="V3" s="20">
        <f t="shared" si="5"/>
        <v>46478</v>
      </c>
      <c r="W3" s="20">
        <f t="shared" si="5"/>
        <v>46508</v>
      </c>
      <c r="X3" s="20">
        <f t="shared" si="5"/>
        <v>46539</v>
      </c>
      <c r="Y3" s="20">
        <f t="shared" si="5"/>
        <v>46569</v>
      </c>
      <c r="Z3" s="20">
        <f t="shared" si="5"/>
        <v>46600</v>
      </c>
      <c r="AA3" s="20">
        <f t="shared" si="5"/>
        <v>46631</v>
      </c>
      <c r="AB3" s="20">
        <f t="shared" si="5"/>
        <v>46661</v>
      </c>
      <c r="AC3" s="20">
        <f t="shared" si="5"/>
        <v>46692</v>
      </c>
      <c r="AD3" s="20">
        <f t="shared" si="5"/>
        <v>46722</v>
      </c>
      <c r="AE3" s="20">
        <f t="shared" si="5"/>
        <v>46753</v>
      </c>
      <c r="AF3" s="20">
        <f t="shared" si="5"/>
        <v>46784</v>
      </c>
      <c r="AG3" s="20">
        <f t="shared" si="5"/>
        <v>46813</v>
      </c>
      <c r="AH3" s="20">
        <f t="shared" si="5"/>
        <v>46844</v>
      </c>
      <c r="AI3" s="20">
        <f t="shared" si="5"/>
        <v>46874</v>
      </c>
      <c r="AJ3" s="20">
        <f t="shared" si="5"/>
        <v>46905</v>
      </c>
      <c r="AK3" s="20">
        <f t="shared" si="5"/>
        <v>46935</v>
      </c>
      <c r="AL3" s="20">
        <f t="shared" si="5"/>
        <v>46966</v>
      </c>
      <c r="AM3" s="20">
        <f t="shared" si="5"/>
        <v>46997</v>
      </c>
      <c r="AN3" s="20">
        <f t="shared" si="5"/>
        <v>47027</v>
      </c>
      <c r="AO3" s="20">
        <f t="shared" si="5"/>
        <v>47058</v>
      </c>
      <c r="AP3" s="20">
        <f t="shared" si="5"/>
        <v>47088</v>
      </c>
      <c r="AQ3" s="20">
        <f t="shared" si="5"/>
        <v>47119</v>
      </c>
      <c r="AR3" s="20">
        <f t="shared" si="5"/>
        <v>47150</v>
      </c>
      <c r="AS3" s="20">
        <f t="shared" si="5"/>
        <v>47178</v>
      </c>
      <c r="AT3" s="20">
        <f t="shared" si="5"/>
        <v>47209</v>
      </c>
      <c r="AU3" s="20">
        <f t="shared" si="5"/>
        <v>47239</v>
      </c>
      <c r="AV3" s="20">
        <f t="shared" si="5"/>
        <v>47270</v>
      </c>
      <c r="AW3" s="20">
        <f t="shared" si="5"/>
        <v>47300</v>
      </c>
      <c r="AX3" s="20">
        <f t="shared" si="5"/>
        <v>47331</v>
      </c>
      <c r="AY3" s="20">
        <f t="shared" si="5"/>
        <v>47362</v>
      </c>
      <c r="AZ3" s="20">
        <f t="shared" si="5"/>
        <v>47392</v>
      </c>
      <c r="BA3" s="20">
        <f t="shared" si="5"/>
        <v>47423</v>
      </c>
      <c r="BB3" s="20">
        <f t="shared" si="5"/>
        <v>47453</v>
      </c>
      <c r="BC3" s="20">
        <f t="shared" si="5"/>
        <v>47484</v>
      </c>
      <c r="BD3" s="20">
        <f t="shared" si="5"/>
        <v>47515</v>
      </c>
      <c r="BE3" s="20">
        <f t="shared" si="5"/>
        <v>47543</v>
      </c>
      <c r="BF3" s="20">
        <f t="shared" si="5"/>
        <v>47574</v>
      </c>
      <c r="BG3" s="20">
        <f t="shared" si="5"/>
        <v>47604</v>
      </c>
      <c r="BH3" s="20">
        <f t="shared" si="5"/>
        <v>47635</v>
      </c>
      <c r="BI3" s="20">
        <f t="shared" si="5"/>
        <v>47665</v>
      </c>
      <c r="BJ3" s="20">
        <f t="shared" si="5"/>
        <v>47696</v>
      </c>
      <c r="BK3" s="9">
        <f t="shared" si="5"/>
        <v>47727</v>
      </c>
    </row>
    <row r="4" spans="1:69">
      <c r="A4" s="18" t="s">
        <v>10</v>
      </c>
      <c r="B4" s="18"/>
      <c r="C4" s="19">
        <f>D3-C3</f>
        <v>30</v>
      </c>
      <c r="D4" s="19">
        <f>E3-D3</f>
        <v>31</v>
      </c>
      <c r="E4" s="19">
        <f t="shared" ref="E4:BJ4" si="6">F3-E3</f>
        <v>30</v>
      </c>
      <c r="F4" s="19">
        <f t="shared" si="6"/>
        <v>31</v>
      </c>
      <c r="G4" s="19">
        <f t="shared" si="6"/>
        <v>31</v>
      </c>
      <c r="H4" s="19">
        <f t="shared" si="6"/>
        <v>28</v>
      </c>
      <c r="I4" s="19">
        <f t="shared" si="6"/>
        <v>31</v>
      </c>
      <c r="J4" s="19">
        <f t="shared" si="6"/>
        <v>30</v>
      </c>
      <c r="K4" s="19">
        <f t="shared" si="6"/>
        <v>31</v>
      </c>
      <c r="L4" s="19">
        <f t="shared" si="6"/>
        <v>30</v>
      </c>
      <c r="M4" s="19">
        <f t="shared" si="6"/>
        <v>31</v>
      </c>
      <c r="N4" s="19">
        <f t="shared" si="6"/>
        <v>31</v>
      </c>
      <c r="O4" s="19">
        <f t="shared" si="6"/>
        <v>30</v>
      </c>
      <c r="P4" s="19">
        <f t="shared" si="6"/>
        <v>31</v>
      </c>
      <c r="Q4" s="19">
        <f t="shared" si="6"/>
        <v>30</v>
      </c>
      <c r="R4" s="19">
        <f t="shared" si="6"/>
        <v>31</v>
      </c>
      <c r="S4" s="19">
        <f t="shared" si="6"/>
        <v>31</v>
      </c>
      <c r="T4" s="19">
        <f t="shared" si="6"/>
        <v>28</v>
      </c>
      <c r="U4" s="19">
        <f t="shared" si="6"/>
        <v>31</v>
      </c>
      <c r="V4" s="19">
        <f t="shared" si="6"/>
        <v>30</v>
      </c>
      <c r="W4" s="19">
        <f t="shared" si="6"/>
        <v>31</v>
      </c>
      <c r="X4" s="19">
        <f t="shared" si="6"/>
        <v>30</v>
      </c>
      <c r="Y4" s="19">
        <f t="shared" si="6"/>
        <v>31</v>
      </c>
      <c r="Z4" s="19">
        <f t="shared" si="6"/>
        <v>31</v>
      </c>
      <c r="AA4" s="19">
        <f t="shared" si="6"/>
        <v>30</v>
      </c>
      <c r="AB4" s="19">
        <f t="shared" si="6"/>
        <v>31</v>
      </c>
      <c r="AC4" s="19">
        <f t="shared" si="6"/>
        <v>30</v>
      </c>
      <c r="AD4" s="19">
        <f t="shared" si="6"/>
        <v>31</v>
      </c>
      <c r="AE4" s="19">
        <f t="shared" si="6"/>
        <v>31</v>
      </c>
      <c r="AF4" s="19">
        <f t="shared" si="6"/>
        <v>29</v>
      </c>
      <c r="AG4" s="19">
        <f t="shared" si="6"/>
        <v>31</v>
      </c>
      <c r="AH4" s="19">
        <f t="shared" si="6"/>
        <v>30</v>
      </c>
      <c r="AI4" s="19">
        <f t="shared" si="6"/>
        <v>31</v>
      </c>
      <c r="AJ4" s="19">
        <f t="shared" si="6"/>
        <v>30</v>
      </c>
      <c r="AK4" s="19">
        <f t="shared" si="6"/>
        <v>31</v>
      </c>
      <c r="AL4" s="19">
        <f t="shared" si="6"/>
        <v>31</v>
      </c>
      <c r="AM4" s="19">
        <f t="shared" si="6"/>
        <v>30</v>
      </c>
      <c r="AN4" s="19">
        <f t="shared" si="6"/>
        <v>31</v>
      </c>
      <c r="AO4" s="19">
        <f t="shared" si="6"/>
        <v>30</v>
      </c>
      <c r="AP4" s="19">
        <f t="shared" si="6"/>
        <v>31</v>
      </c>
      <c r="AQ4" s="19">
        <f t="shared" si="6"/>
        <v>31</v>
      </c>
      <c r="AR4" s="19">
        <f t="shared" si="6"/>
        <v>28</v>
      </c>
      <c r="AS4" s="19">
        <f t="shared" si="6"/>
        <v>31</v>
      </c>
      <c r="AT4" s="19">
        <f t="shared" si="6"/>
        <v>30</v>
      </c>
      <c r="AU4" s="19">
        <f t="shared" si="6"/>
        <v>31</v>
      </c>
      <c r="AV4" s="19">
        <f t="shared" si="6"/>
        <v>30</v>
      </c>
      <c r="AW4" s="19">
        <f t="shared" si="6"/>
        <v>31</v>
      </c>
      <c r="AX4" s="19">
        <f t="shared" si="6"/>
        <v>31</v>
      </c>
      <c r="AY4" s="19">
        <f t="shared" si="6"/>
        <v>30</v>
      </c>
      <c r="AZ4" s="19">
        <f t="shared" si="6"/>
        <v>31</v>
      </c>
      <c r="BA4" s="19">
        <f t="shared" si="6"/>
        <v>30</v>
      </c>
      <c r="BB4" s="19">
        <f t="shared" si="6"/>
        <v>31</v>
      </c>
      <c r="BC4" s="19">
        <f t="shared" si="6"/>
        <v>31</v>
      </c>
      <c r="BD4" s="19">
        <f t="shared" si="6"/>
        <v>28</v>
      </c>
      <c r="BE4" s="19">
        <f t="shared" si="6"/>
        <v>31</v>
      </c>
      <c r="BF4" s="19">
        <f t="shared" si="6"/>
        <v>30</v>
      </c>
      <c r="BG4" s="19">
        <f t="shared" si="6"/>
        <v>31</v>
      </c>
      <c r="BH4" s="19">
        <f t="shared" si="6"/>
        <v>30</v>
      </c>
      <c r="BI4" s="19">
        <f t="shared" si="6"/>
        <v>31</v>
      </c>
      <c r="BJ4" s="19">
        <f t="shared" si="6"/>
        <v>31</v>
      </c>
    </row>
    <row r="5" spans="1:69">
      <c r="A5" s="18" t="s">
        <v>9</v>
      </c>
      <c r="B5" s="18"/>
      <c r="C5" s="19">
        <v>1</v>
      </c>
      <c r="D5" s="19">
        <f>C5+1</f>
        <v>2</v>
      </c>
      <c r="E5" s="19">
        <f t="shared" ref="E5:BJ5" si="7">D5+1</f>
        <v>3</v>
      </c>
      <c r="F5" s="19">
        <f t="shared" si="7"/>
        <v>4</v>
      </c>
      <c r="G5" s="19">
        <f t="shared" si="7"/>
        <v>5</v>
      </c>
      <c r="H5" s="19">
        <f t="shared" si="7"/>
        <v>6</v>
      </c>
      <c r="I5" s="19">
        <f t="shared" si="7"/>
        <v>7</v>
      </c>
      <c r="J5" s="19">
        <f t="shared" si="7"/>
        <v>8</v>
      </c>
      <c r="K5" s="19">
        <f t="shared" si="7"/>
        <v>9</v>
      </c>
      <c r="L5" s="19">
        <f t="shared" si="7"/>
        <v>10</v>
      </c>
      <c r="M5" s="19">
        <f t="shared" si="7"/>
        <v>11</v>
      </c>
      <c r="N5" s="19">
        <f t="shared" si="7"/>
        <v>12</v>
      </c>
      <c r="O5" s="19">
        <f t="shared" si="7"/>
        <v>13</v>
      </c>
      <c r="P5" s="19">
        <f t="shared" si="7"/>
        <v>14</v>
      </c>
      <c r="Q5" s="19">
        <f t="shared" si="7"/>
        <v>15</v>
      </c>
      <c r="R5" s="19">
        <f t="shared" si="7"/>
        <v>16</v>
      </c>
      <c r="S5" s="19">
        <f t="shared" si="7"/>
        <v>17</v>
      </c>
      <c r="T5" s="19">
        <f t="shared" si="7"/>
        <v>18</v>
      </c>
      <c r="U5" s="19">
        <f t="shared" si="7"/>
        <v>19</v>
      </c>
      <c r="V5" s="19">
        <f t="shared" si="7"/>
        <v>20</v>
      </c>
      <c r="W5" s="19">
        <f t="shared" si="7"/>
        <v>21</v>
      </c>
      <c r="X5" s="19">
        <f t="shared" si="7"/>
        <v>22</v>
      </c>
      <c r="Y5" s="19">
        <f t="shared" si="7"/>
        <v>23</v>
      </c>
      <c r="Z5" s="19">
        <f t="shared" si="7"/>
        <v>24</v>
      </c>
      <c r="AA5" s="19">
        <f t="shared" si="7"/>
        <v>25</v>
      </c>
      <c r="AB5" s="19">
        <f t="shared" si="7"/>
        <v>26</v>
      </c>
      <c r="AC5" s="19">
        <f t="shared" si="7"/>
        <v>27</v>
      </c>
      <c r="AD5" s="19">
        <f t="shared" si="7"/>
        <v>28</v>
      </c>
      <c r="AE5" s="19">
        <f t="shared" si="7"/>
        <v>29</v>
      </c>
      <c r="AF5" s="19">
        <f t="shared" si="7"/>
        <v>30</v>
      </c>
      <c r="AG5" s="19">
        <f t="shared" si="7"/>
        <v>31</v>
      </c>
      <c r="AH5" s="19">
        <f t="shared" si="7"/>
        <v>32</v>
      </c>
      <c r="AI5" s="19">
        <f t="shared" si="7"/>
        <v>33</v>
      </c>
      <c r="AJ5" s="19">
        <f>AI5+1</f>
        <v>34</v>
      </c>
      <c r="AK5" s="19">
        <f t="shared" si="7"/>
        <v>35</v>
      </c>
      <c r="AL5" s="19">
        <f t="shared" si="7"/>
        <v>36</v>
      </c>
      <c r="AM5" s="19">
        <f t="shared" si="7"/>
        <v>37</v>
      </c>
      <c r="AN5" s="19">
        <f t="shared" si="7"/>
        <v>38</v>
      </c>
      <c r="AO5" s="19">
        <f t="shared" si="7"/>
        <v>39</v>
      </c>
      <c r="AP5" s="19">
        <f t="shared" si="7"/>
        <v>40</v>
      </c>
      <c r="AQ5" s="19">
        <f t="shared" si="7"/>
        <v>41</v>
      </c>
      <c r="AR5" s="19">
        <f t="shared" si="7"/>
        <v>42</v>
      </c>
      <c r="AS5" s="19">
        <f t="shared" si="7"/>
        <v>43</v>
      </c>
      <c r="AT5" s="19">
        <f t="shared" si="7"/>
        <v>44</v>
      </c>
      <c r="AU5" s="19">
        <f t="shared" si="7"/>
        <v>45</v>
      </c>
      <c r="AV5" s="19">
        <f t="shared" si="7"/>
        <v>46</v>
      </c>
      <c r="AW5" s="19">
        <f t="shared" si="7"/>
        <v>47</v>
      </c>
      <c r="AX5" s="19">
        <f t="shared" si="7"/>
        <v>48</v>
      </c>
      <c r="AY5" s="19">
        <f t="shared" si="7"/>
        <v>49</v>
      </c>
      <c r="AZ5" s="19">
        <f t="shared" si="7"/>
        <v>50</v>
      </c>
      <c r="BA5" s="19">
        <f t="shared" si="7"/>
        <v>51</v>
      </c>
      <c r="BB5" s="19">
        <f t="shared" si="7"/>
        <v>52</v>
      </c>
      <c r="BC5" s="19">
        <f t="shared" si="7"/>
        <v>53</v>
      </c>
      <c r="BD5" s="19">
        <f t="shared" si="7"/>
        <v>54</v>
      </c>
      <c r="BE5" s="19">
        <f t="shared" si="7"/>
        <v>55</v>
      </c>
      <c r="BF5" s="19">
        <f t="shared" si="7"/>
        <v>56</v>
      </c>
      <c r="BG5" s="19">
        <f t="shared" si="7"/>
        <v>57</v>
      </c>
      <c r="BH5" s="19">
        <f t="shared" si="7"/>
        <v>58</v>
      </c>
      <c r="BI5" s="19">
        <f t="shared" si="7"/>
        <v>59</v>
      </c>
      <c r="BJ5" s="19">
        <f t="shared" si="7"/>
        <v>60</v>
      </c>
    </row>
    <row r="8" spans="1:69">
      <c r="A8" s="49" t="s">
        <v>37</v>
      </c>
      <c r="B8" s="47" t="s">
        <v>120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</row>
    <row r="9" spans="1:69">
      <c r="A9" s="34" t="str">
        <f t="shared" ref="A9:A19" si="8">A117</f>
        <v>Производственный персонал</v>
      </c>
      <c r="B9" s="142"/>
      <c r="C9" s="78">
        <f t="shared" ref="C9:AH9" si="9">SUM(C10:C19)</f>
        <v>0</v>
      </c>
      <c r="D9" s="78">
        <f t="shared" si="9"/>
        <v>0</v>
      </c>
      <c r="E9" s="78">
        <f t="shared" si="9"/>
        <v>0</v>
      </c>
      <c r="F9" s="78">
        <f t="shared" si="9"/>
        <v>78</v>
      </c>
      <c r="G9" s="78">
        <f t="shared" si="9"/>
        <v>78</v>
      </c>
      <c r="H9" s="78">
        <f t="shared" si="9"/>
        <v>78</v>
      </c>
      <c r="I9" s="78">
        <f t="shared" si="9"/>
        <v>78</v>
      </c>
      <c r="J9" s="78">
        <f t="shared" si="9"/>
        <v>78</v>
      </c>
      <c r="K9" s="78">
        <f t="shared" si="9"/>
        <v>78</v>
      </c>
      <c r="L9" s="78">
        <f t="shared" si="9"/>
        <v>78</v>
      </c>
      <c r="M9" s="78">
        <f t="shared" si="9"/>
        <v>78</v>
      </c>
      <c r="N9" s="78">
        <f t="shared" si="9"/>
        <v>78</v>
      </c>
      <c r="O9" s="78">
        <f t="shared" si="9"/>
        <v>78</v>
      </c>
      <c r="P9" s="78">
        <f t="shared" si="9"/>
        <v>78</v>
      </c>
      <c r="Q9" s="78">
        <f t="shared" si="9"/>
        <v>78</v>
      </c>
      <c r="R9" s="78">
        <f t="shared" si="9"/>
        <v>78</v>
      </c>
      <c r="S9" s="78">
        <f t="shared" si="9"/>
        <v>78</v>
      </c>
      <c r="T9" s="78">
        <f t="shared" si="9"/>
        <v>78</v>
      </c>
      <c r="U9" s="78">
        <f t="shared" si="9"/>
        <v>78</v>
      </c>
      <c r="V9" s="78">
        <f t="shared" si="9"/>
        <v>78</v>
      </c>
      <c r="W9" s="78">
        <f t="shared" si="9"/>
        <v>78</v>
      </c>
      <c r="X9" s="78">
        <f t="shared" si="9"/>
        <v>78</v>
      </c>
      <c r="Y9" s="78">
        <f t="shared" si="9"/>
        <v>78</v>
      </c>
      <c r="Z9" s="78">
        <f t="shared" si="9"/>
        <v>78</v>
      </c>
      <c r="AA9" s="78">
        <f t="shared" si="9"/>
        <v>78</v>
      </c>
      <c r="AB9" s="78">
        <f t="shared" si="9"/>
        <v>78</v>
      </c>
      <c r="AC9" s="78">
        <f t="shared" si="9"/>
        <v>78</v>
      </c>
      <c r="AD9" s="78">
        <f t="shared" si="9"/>
        <v>78</v>
      </c>
      <c r="AE9" s="78">
        <f t="shared" si="9"/>
        <v>78</v>
      </c>
      <c r="AF9" s="78">
        <f t="shared" si="9"/>
        <v>78</v>
      </c>
      <c r="AG9" s="78">
        <f t="shared" si="9"/>
        <v>78</v>
      </c>
      <c r="AH9" s="78">
        <f t="shared" si="9"/>
        <v>78</v>
      </c>
      <c r="AI9" s="78">
        <f t="shared" ref="AI9:BJ9" si="10">SUM(AI10:AI19)</f>
        <v>78</v>
      </c>
      <c r="AJ9" s="78">
        <f t="shared" si="10"/>
        <v>78</v>
      </c>
      <c r="AK9" s="78">
        <f t="shared" si="10"/>
        <v>78</v>
      </c>
      <c r="AL9" s="78">
        <f t="shared" si="10"/>
        <v>78</v>
      </c>
      <c r="AM9" s="78">
        <f t="shared" si="10"/>
        <v>78</v>
      </c>
      <c r="AN9" s="78">
        <f t="shared" si="10"/>
        <v>78</v>
      </c>
      <c r="AO9" s="78">
        <f t="shared" si="10"/>
        <v>78</v>
      </c>
      <c r="AP9" s="78">
        <f t="shared" si="10"/>
        <v>78</v>
      </c>
      <c r="AQ9" s="78">
        <f t="shared" si="10"/>
        <v>78</v>
      </c>
      <c r="AR9" s="78">
        <f t="shared" si="10"/>
        <v>78</v>
      </c>
      <c r="AS9" s="78">
        <f t="shared" si="10"/>
        <v>78</v>
      </c>
      <c r="AT9" s="78">
        <f t="shared" si="10"/>
        <v>78</v>
      </c>
      <c r="AU9" s="78">
        <f t="shared" si="10"/>
        <v>78</v>
      </c>
      <c r="AV9" s="78">
        <f t="shared" si="10"/>
        <v>78</v>
      </c>
      <c r="AW9" s="78">
        <f t="shared" si="10"/>
        <v>78</v>
      </c>
      <c r="AX9" s="78">
        <f t="shared" si="10"/>
        <v>78</v>
      </c>
      <c r="AY9" s="78">
        <f t="shared" si="10"/>
        <v>78</v>
      </c>
      <c r="AZ9" s="78">
        <f t="shared" si="10"/>
        <v>78</v>
      </c>
      <c r="BA9" s="78">
        <f t="shared" si="10"/>
        <v>78</v>
      </c>
      <c r="BB9" s="78">
        <f t="shared" si="10"/>
        <v>78</v>
      </c>
      <c r="BC9" s="78">
        <f t="shared" si="10"/>
        <v>78</v>
      </c>
      <c r="BD9" s="78">
        <f t="shared" si="10"/>
        <v>78</v>
      </c>
      <c r="BE9" s="78">
        <f t="shared" si="10"/>
        <v>78</v>
      </c>
      <c r="BF9" s="78">
        <f t="shared" si="10"/>
        <v>78</v>
      </c>
      <c r="BG9" s="78">
        <f t="shared" si="10"/>
        <v>78</v>
      </c>
      <c r="BH9" s="78">
        <f t="shared" si="10"/>
        <v>78</v>
      </c>
      <c r="BI9" s="78">
        <f t="shared" si="10"/>
        <v>78</v>
      </c>
      <c r="BJ9" s="78">
        <f t="shared" si="10"/>
        <v>78</v>
      </c>
    </row>
    <row r="10" spans="1:69">
      <c r="A10" s="30" t="str">
        <f t="shared" si="8"/>
        <v>Лаборант-микробиолог</v>
      </c>
      <c r="B10" s="173">
        <f>Допущения!$E$4</f>
        <v>45992</v>
      </c>
      <c r="C10" s="51">
        <f t="shared" ref="C10:L19" si="11">IF(C$3&lt;$B10,0,SUMIF($A$10:$A$31,$A10,$B$118:$B$139))</f>
        <v>0</v>
      </c>
      <c r="D10" s="51">
        <f t="shared" si="11"/>
        <v>0</v>
      </c>
      <c r="E10" s="51">
        <f t="shared" si="11"/>
        <v>0</v>
      </c>
      <c r="F10" s="51">
        <f t="shared" si="11"/>
        <v>3</v>
      </c>
      <c r="G10" s="51">
        <f t="shared" si="11"/>
        <v>3</v>
      </c>
      <c r="H10" s="51">
        <f t="shared" si="11"/>
        <v>3</v>
      </c>
      <c r="I10" s="51">
        <f t="shared" si="11"/>
        <v>3</v>
      </c>
      <c r="J10" s="51">
        <f t="shared" si="11"/>
        <v>3</v>
      </c>
      <c r="K10" s="51">
        <f t="shared" si="11"/>
        <v>3</v>
      </c>
      <c r="L10" s="51">
        <f t="shared" si="11"/>
        <v>3</v>
      </c>
      <c r="M10" s="51">
        <f t="shared" ref="M10:V19" si="12">IF(M$3&lt;$B10,0,SUMIF($A$10:$A$31,$A10,$B$118:$B$139))</f>
        <v>3</v>
      </c>
      <c r="N10" s="51">
        <f t="shared" si="12"/>
        <v>3</v>
      </c>
      <c r="O10" s="51">
        <f t="shared" si="12"/>
        <v>3</v>
      </c>
      <c r="P10" s="51">
        <f t="shared" si="12"/>
        <v>3</v>
      </c>
      <c r="Q10" s="51">
        <f t="shared" si="12"/>
        <v>3</v>
      </c>
      <c r="R10" s="51">
        <f t="shared" si="12"/>
        <v>3</v>
      </c>
      <c r="S10" s="51">
        <f t="shared" si="12"/>
        <v>3</v>
      </c>
      <c r="T10" s="51">
        <f t="shared" si="12"/>
        <v>3</v>
      </c>
      <c r="U10" s="51">
        <f t="shared" si="12"/>
        <v>3</v>
      </c>
      <c r="V10" s="51">
        <f t="shared" si="12"/>
        <v>3</v>
      </c>
      <c r="W10" s="51">
        <f t="shared" ref="W10:AF19" si="13">IF(W$3&lt;$B10,0,SUMIF($A$10:$A$31,$A10,$B$118:$B$139))</f>
        <v>3</v>
      </c>
      <c r="X10" s="51">
        <f t="shared" si="13"/>
        <v>3</v>
      </c>
      <c r="Y10" s="51">
        <f t="shared" si="13"/>
        <v>3</v>
      </c>
      <c r="Z10" s="51">
        <f t="shared" si="13"/>
        <v>3</v>
      </c>
      <c r="AA10" s="51">
        <f t="shared" si="13"/>
        <v>3</v>
      </c>
      <c r="AB10" s="51">
        <f t="shared" si="13"/>
        <v>3</v>
      </c>
      <c r="AC10" s="51">
        <f t="shared" si="13"/>
        <v>3</v>
      </c>
      <c r="AD10" s="51">
        <f t="shared" si="13"/>
        <v>3</v>
      </c>
      <c r="AE10" s="51">
        <f t="shared" si="13"/>
        <v>3</v>
      </c>
      <c r="AF10" s="51">
        <f t="shared" si="13"/>
        <v>3</v>
      </c>
      <c r="AG10" s="51">
        <f t="shared" ref="AG10:AP19" si="14">IF(AG$3&lt;$B10,0,SUMIF($A$10:$A$31,$A10,$B$118:$B$139))</f>
        <v>3</v>
      </c>
      <c r="AH10" s="51">
        <f t="shared" si="14"/>
        <v>3</v>
      </c>
      <c r="AI10" s="51">
        <f t="shared" si="14"/>
        <v>3</v>
      </c>
      <c r="AJ10" s="51">
        <f t="shared" si="14"/>
        <v>3</v>
      </c>
      <c r="AK10" s="51">
        <f t="shared" si="14"/>
        <v>3</v>
      </c>
      <c r="AL10" s="51">
        <f t="shared" si="14"/>
        <v>3</v>
      </c>
      <c r="AM10" s="51">
        <f t="shared" si="14"/>
        <v>3</v>
      </c>
      <c r="AN10" s="51">
        <f t="shared" si="14"/>
        <v>3</v>
      </c>
      <c r="AO10" s="51">
        <f t="shared" si="14"/>
        <v>3</v>
      </c>
      <c r="AP10" s="51">
        <f t="shared" si="14"/>
        <v>3</v>
      </c>
      <c r="AQ10" s="51">
        <f t="shared" ref="AQ10:AZ19" si="15">IF(AQ$3&lt;$B10,0,SUMIF($A$10:$A$31,$A10,$B$118:$B$139))</f>
        <v>3</v>
      </c>
      <c r="AR10" s="51">
        <f t="shared" si="15"/>
        <v>3</v>
      </c>
      <c r="AS10" s="51">
        <f t="shared" si="15"/>
        <v>3</v>
      </c>
      <c r="AT10" s="51">
        <f t="shared" si="15"/>
        <v>3</v>
      </c>
      <c r="AU10" s="51">
        <f t="shared" si="15"/>
        <v>3</v>
      </c>
      <c r="AV10" s="51">
        <f t="shared" si="15"/>
        <v>3</v>
      </c>
      <c r="AW10" s="51">
        <f t="shared" si="15"/>
        <v>3</v>
      </c>
      <c r="AX10" s="51">
        <f t="shared" si="15"/>
        <v>3</v>
      </c>
      <c r="AY10" s="51">
        <f t="shared" si="15"/>
        <v>3</v>
      </c>
      <c r="AZ10" s="51">
        <f t="shared" si="15"/>
        <v>3</v>
      </c>
      <c r="BA10" s="51">
        <f t="shared" ref="BA10:BJ19" si="16">IF(BA$3&lt;$B10,0,SUMIF($A$10:$A$31,$A10,$B$118:$B$139))</f>
        <v>3</v>
      </c>
      <c r="BB10" s="51">
        <f t="shared" si="16"/>
        <v>3</v>
      </c>
      <c r="BC10" s="51">
        <f t="shared" si="16"/>
        <v>3</v>
      </c>
      <c r="BD10" s="51">
        <f t="shared" si="16"/>
        <v>3</v>
      </c>
      <c r="BE10" s="51">
        <f t="shared" si="16"/>
        <v>3</v>
      </c>
      <c r="BF10" s="51">
        <f t="shared" si="16"/>
        <v>3</v>
      </c>
      <c r="BG10" s="51">
        <f t="shared" si="16"/>
        <v>3</v>
      </c>
      <c r="BH10" s="51">
        <f t="shared" si="16"/>
        <v>3</v>
      </c>
      <c r="BI10" s="51">
        <f t="shared" si="16"/>
        <v>3</v>
      </c>
      <c r="BJ10" s="51">
        <f t="shared" si="16"/>
        <v>3</v>
      </c>
    </row>
    <row r="11" spans="1:69">
      <c r="A11" s="30" t="str">
        <f t="shared" si="8"/>
        <v>Инженер-механик</v>
      </c>
      <c r="B11" s="173">
        <f>Допущения!$E$4</f>
        <v>45992</v>
      </c>
      <c r="C11" s="51">
        <f t="shared" si="11"/>
        <v>0</v>
      </c>
      <c r="D11" s="51">
        <f t="shared" si="11"/>
        <v>0</v>
      </c>
      <c r="E11" s="51">
        <f t="shared" si="11"/>
        <v>0</v>
      </c>
      <c r="F11" s="51">
        <f t="shared" si="11"/>
        <v>3</v>
      </c>
      <c r="G11" s="51">
        <f t="shared" si="11"/>
        <v>3</v>
      </c>
      <c r="H11" s="51">
        <f t="shared" si="11"/>
        <v>3</v>
      </c>
      <c r="I11" s="51">
        <f t="shared" si="11"/>
        <v>3</v>
      </c>
      <c r="J11" s="51">
        <f t="shared" si="11"/>
        <v>3</v>
      </c>
      <c r="K11" s="51">
        <f t="shared" si="11"/>
        <v>3</v>
      </c>
      <c r="L11" s="51">
        <f t="shared" si="11"/>
        <v>3</v>
      </c>
      <c r="M11" s="51">
        <f t="shared" si="12"/>
        <v>3</v>
      </c>
      <c r="N11" s="51">
        <f t="shared" si="12"/>
        <v>3</v>
      </c>
      <c r="O11" s="51">
        <f t="shared" si="12"/>
        <v>3</v>
      </c>
      <c r="P11" s="51">
        <f t="shared" si="12"/>
        <v>3</v>
      </c>
      <c r="Q11" s="51">
        <f t="shared" si="12"/>
        <v>3</v>
      </c>
      <c r="R11" s="51">
        <f t="shared" si="12"/>
        <v>3</v>
      </c>
      <c r="S11" s="51">
        <f t="shared" si="12"/>
        <v>3</v>
      </c>
      <c r="T11" s="51">
        <f t="shared" si="12"/>
        <v>3</v>
      </c>
      <c r="U11" s="51">
        <f t="shared" si="12"/>
        <v>3</v>
      </c>
      <c r="V11" s="51">
        <f t="shared" si="12"/>
        <v>3</v>
      </c>
      <c r="W11" s="51">
        <f t="shared" si="13"/>
        <v>3</v>
      </c>
      <c r="X11" s="51">
        <f t="shared" si="13"/>
        <v>3</v>
      </c>
      <c r="Y11" s="51">
        <f t="shared" si="13"/>
        <v>3</v>
      </c>
      <c r="Z11" s="51">
        <f t="shared" si="13"/>
        <v>3</v>
      </c>
      <c r="AA11" s="51">
        <f t="shared" si="13"/>
        <v>3</v>
      </c>
      <c r="AB11" s="51">
        <f t="shared" si="13"/>
        <v>3</v>
      </c>
      <c r="AC11" s="51">
        <f t="shared" si="13"/>
        <v>3</v>
      </c>
      <c r="AD11" s="51">
        <f t="shared" si="13"/>
        <v>3</v>
      </c>
      <c r="AE11" s="51">
        <f t="shared" si="13"/>
        <v>3</v>
      </c>
      <c r="AF11" s="51">
        <f t="shared" si="13"/>
        <v>3</v>
      </c>
      <c r="AG11" s="51">
        <f t="shared" si="14"/>
        <v>3</v>
      </c>
      <c r="AH11" s="51">
        <f t="shared" si="14"/>
        <v>3</v>
      </c>
      <c r="AI11" s="51">
        <f t="shared" si="14"/>
        <v>3</v>
      </c>
      <c r="AJ11" s="51">
        <f t="shared" si="14"/>
        <v>3</v>
      </c>
      <c r="AK11" s="51">
        <f t="shared" si="14"/>
        <v>3</v>
      </c>
      <c r="AL11" s="51">
        <f t="shared" si="14"/>
        <v>3</v>
      </c>
      <c r="AM11" s="51">
        <f t="shared" si="14"/>
        <v>3</v>
      </c>
      <c r="AN11" s="51">
        <f t="shared" si="14"/>
        <v>3</v>
      </c>
      <c r="AO11" s="51">
        <f t="shared" si="14"/>
        <v>3</v>
      </c>
      <c r="AP11" s="51">
        <f t="shared" si="14"/>
        <v>3</v>
      </c>
      <c r="AQ11" s="51">
        <f t="shared" si="15"/>
        <v>3</v>
      </c>
      <c r="AR11" s="51">
        <f t="shared" si="15"/>
        <v>3</v>
      </c>
      <c r="AS11" s="51">
        <f t="shared" si="15"/>
        <v>3</v>
      </c>
      <c r="AT11" s="51">
        <f t="shared" si="15"/>
        <v>3</v>
      </c>
      <c r="AU11" s="51">
        <f t="shared" si="15"/>
        <v>3</v>
      </c>
      <c r="AV11" s="51">
        <f t="shared" si="15"/>
        <v>3</v>
      </c>
      <c r="AW11" s="51">
        <f t="shared" si="15"/>
        <v>3</v>
      </c>
      <c r="AX11" s="51">
        <f t="shared" si="15"/>
        <v>3</v>
      </c>
      <c r="AY11" s="51">
        <f t="shared" si="15"/>
        <v>3</v>
      </c>
      <c r="AZ11" s="51">
        <f t="shared" si="15"/>
        <v>3</v>
      </c>
      <c r="BA11" s="51">
        <f t="shared" si="16"/>
        <v>3</v>
      </c>
      <c r="BB11" s="51">
        <f t="shared" si="16"/>
        <v>3</v>
      </c>
      <c r="BC11" s="51">
        <f t="shared" si="16"/>
        <v>3</v>
      </c>
      <c r="BD11" s="51">
        <f t="shared" si="16"/>
        <v>3</v>
      </c>
      <c r="BE11" s="51">
        <f t="shared" si="16"/>
        <v>3</v>
      </c>
      <c r="BF11" s="51">
        <f t="shared" si="16"/>
        <v>3</v>
      </c>
      <c r="BG11" s="51">
        <f t="shared" si="16"/>
        <v>3</v>
      </c>
      <c r="BH11" s="51">
        <f t="shared" si="16"/>
        <v>3</v>
      </c>
      <c r="BI11" s="51">
        <f t="shared" si="16"/>
        <v>3</v>
      </c>
      <c r="BJ11" s="51">
        <f t="shared" si="16"/>
        <v>3</v>
      </c>
    </row>
    <row r="12" spans="1:69">
      <c r="A12" s="30" t="str">
        <f t="shared" si="8"/>
        <v>Электрик/слесарь-ремонтник</v>
      </c>
      <c r="B12" s="173">
        <f>Допущения!$E$4</f>
        <v>45992</v>
      </c>
      <c r="C12" s="51">
        <f t="shared" si="11"/>
        <v>0</v>
      </c>
      <c r="D12" s="51">
        <f t="shared" si="11"/>
        <v>0</v>
      </c>
      <c r="E12" s="51">
        <f t="shared" si="11"/>
        <v>0</v>
      </c>
      <c r="F12" s="51">
        <f t="shared" si="11"/>
        <v>2</v>
      </c>
      <c r="G12" s="51">
        <f t="shared" si="11"/>
        <v>2</v>
      </c>
      <c r="H12" s="51">
        <f t="shared" si="11"/>
        <v>2</v>
      </c>
      <c r="I12" s="51">
        <f t="shared" si="11"/>
        <v>2</v>
      </c>
      <c r="J12" s="51">
        <f t="shared" si="11"/>
        <v>2</v>
      </c>
      <c r="K12" s="51">
        <f t="shared" si="11"/>
        <v>2</v>
      </c>
      <c r="L12" s="51">
        <f t="shared" si="11"/>
        <v>2</v>
      </c>
      <c r="M12" s="51">
        <f t="shared" si="12"/>
        <v>2</v>
      </c>
      <c r="N12" s="51">
        <f t="shared" si="12"/>
        <v>2</v>
      </c>
      <c r="O12" s="51">
        <f t="shared" si="12"/>
        <v>2</v>
      </c>
      <c r="P12" s="51">
        <f t="shared" si="12"/>
        <v>2</v>
      </c>
      <c r="Q12" s="51">
        <f t="shared" si="12"/>
        <v>2</v>
      </c>
      <c r="R12" s="51">
        <f t="shared" si="12"/>
        <v>2</v>
      </c>
      <c r="S12" s="51">
        <f t="shared" si="12"/>
        <v>2</v>
      </c>
      <c r="T12" s="51">
        <f t="shared" si="12"/>
        <v>2</v>
      </c>
      <c r="U12" s="51">
        <f t="shared" si="12"/>
        <v>2</v>
      </c>
      <c r="V12" s="51">
        <f t="shared" si="12"/>
        <v>2</v>
      </c>
      <c r="W12" s="51">
        <f t="shared" si="13"/>
        <v>2</v>
      </c>
      <c r="X12" s="51">
        <f t="shared" si="13"/>
        <v>2</v>
      </c>
      <c r="Y12" s="51">
        <f t="shared" si="13"/>
        <v>2</v>
      </c>
      <c r="Z12" s="51">
        <f t="shared" si="13"/>
        <v>2</v>
      </c>
      <c r="AA12" s="51">
        <f t="shared" si="13"/>
        <v>2</v>
      </c>
      <c r="AB12" s="51">
        <f t="shared" si="13"/>
        <v>2</v>
      </c>
      <c r="AC12" s="51">
        <f t="shared" si="13"/>
        <v>2</v>
      </c>
      <c r="AD12" s="51">
        <f t="shared" si="13"/>
        <v>2</v>
      </c>
      <c r="AE12" s="51">
        <f t="shared" si="13"/>
        <v>2</v>
      </c>
      <c r="AF12" s="51">
        <f t="shared" si="13"/>
        <v>2</v>
      </c>
      <c r="AG12" s="51">
        <f t="shared" si="14"/>
        <v>2</v>
      </c>
      <c r="AH12" s="51">
        <f t="shared" si="14"/>
        <v>2</v>
      </c>
      <c r="AI12" s="51">
        <f t="shared" si="14"/>
        <v>2</v>
      </c>
      <c r="AJ12" s="51">
        <f t="shared" si="14"/>
        <v>2</v>
      </c>
      <c r="AK12" s="51">
        <f t="shared" si="14"/>
        <v>2</v>
      </c>
      <c r="AL12" s="51">
        <f t="shared" si="14"/>
        <v>2</v>
      </c>
      <c r="AM12" s="51">
        <f t="shared" si="14"/>
        <v>2</v>
      </c>
      <c r="AN12" s="51">
        <f t="shared" si="14"/>
        <v>2</v>
      </c>
      <c r="AO12" s="51">
        <f t="shared" si="14"/>
        <v>2</v>
      </c>
      <c r="AP12" s="51">
        <f t="shared" si="14"/>
        <v>2</v>
      </c>
      <c r="AQ12" s="51">
        <f t="shared" si="15"/>
        <v>2</v>
      </c>
      <c r="AR12" s="51">
        <f t="shared" si="15"/>
        <v>2</v>
      </c>
      <c r="AS12" s="51">
        <f t="shared" si="15"/>
        <v>2</v>
      </c>
      <c r="AT12" s="51">
        <f t="shared" si="15"/>
        <v>2</v>
      </c>
      <c r="AU12" s="51">
        <f t="shared" si="15"/>
        <v>2</v>
      </c>
      <c r="AV12" s="51">
        <f t="shared" si="15"/>
        <v>2</v>
      </c>
      <c r="AW12" s="51">
        <f t="shared" si="15"/>
        <v>2</v>
      </c>
      <c r="AX12" s="51">
        <f t="shared" si="15"/>
        <v>2</v>
      </c>
      <c r="AY12" s="51">
        <f t="shared" si="15"/>
        <v>2</v>
      </c>
      <c r="AZ12" s="51">
        <f t="shared" si="15"/>
        <v>2</v>
      </c>
      <c r="BA12" s="51">
        <f t="shared" si="16"/>
        <v>2</v>
      </c>
      <c r="BB12" s="51">
        <f t="shared" si="16"/>
        <v>2</v>
      </c>
      <c r="BC12" s="51">
        <f t="shared" si="16"/>
        <v>2</v>
      </c>
      <c r="BD12" s="51">
        <f t="shared" si="16"/>
        <v>2</v>
      </c>
      <c r="BE12" s="51">
        <f t="shared" si="16"/>
        <v>2</v>
      </c>
      <c r="BF12" s="51">
        <f t="shared" si="16"/>
        <v>2</v>
      </c>
      <c r="BG12" s="51">
        <f t="shared" si="16"/>
        <v>2</v>
      </c>
      <c r="BH12" s="51">
        <f t="shared" si="16"/>
        <v>2</v>
      </c>
      <c r="BI12" s="51">
        <f t="shared" si="16"/>
        <v>2</v>
      </c>
      <c r="BJ12" s="51">
        <f t="shared" si="16"/>
        <v>2</v>
      </c>
    </row>
    <row r="13" spans="1:69">
      <c r="A13" s="30" t="str">
        <f t="shared" si="8"/>
        <v>Обвальщик/мясник</v>
      </c>
      <c r="B13" s="173">
        <f>Допущения!$E$4</f>
        <v>45992</v>
      </c>
      <c r="C13" s="51">
        <f t="shared" si="11"/>
        <v>0</v>
      </c>
      <c r="D13" s="51">
        <f t="shared" si="11"/>
        <v>0</v>
      </c>
      <c r="E13" s="51">
        <f t="shared" si="11"/>
        <v>0</v>
      </c>
      <c r="F13" s="51">
        <f t="shared" si="11"/>
        <v>20</v>
      </c>
      <c r="G13" s="51">
        <f t="shared" si="11"/>
        <v>20</v>
      </c>
      <c r="H13" s="51">
        <f t="shared" si="11"/>
        <v>20</v>
      </c>
      <c r="I13" s="51">
        <f t="shared" si="11"/>
        <v>20</v>
      </c>
      <c r="J13" s="51">
        <f t="shared" si="11"/>
        <v>20</v>
      </c>
      <c r="K13" s="51">
        <f t="shared" si="11"/>
        <v>20</v>
      </c>
      <c r="L13" s="51">
        <f t="shared" si="11"/>
        <v>20</v>
      </c>
      <c r="M13" s="51">
        <f t="shared" si="12"/>
        <v>20</v>
      </c>
      <c r="N13" s="51">
        <f t="shared" si="12"/>
        <v>20</v>
      </c>
      <c r="O13" s="51">
        <f t="shared" si="12"/>
        <v>20</v>
      </c>
      <c r="P13" s="51">
        <f t="shared" si="12"/>
        <v>20</v>
      </c>
      <c r="Q13" s="51">
        <f t="shared" si="12"/>
        <v>20</v>
      </c>
      <c r="R13" s="51">
        <f t="shared" si="12"/>
        <v>20</v>
      </c>
      <c r="S13" s="51">
        <f t="shared" si="12"/>
        <v>20</v>
      </c>
      <c r="T13" s="51">
        <f t="shared" si="12"/>
        <v>20</v>
      </c>
      <c r="U13" s="51">
        <f t="shared" si="12"/>
        <v>20</v>
      </c>
      <c r="V13" s="51">
        <f t="shared" si="12"/>
        <v>20</v>
      </c>
      <c r="W13" s="51">
        <f t="shared" si="13"/>
        <v>20</v>
      </c>
      <c r="X13" s="51">
        <f t="shared" si="13"/>
        <v>20</v>
      </c>
      <c r="Y13" s="51">
        <f t="shared" si="13"/>
        <v>20</v>
      </c>
      <c r="Z13" s="51">
        <f t="shared" si="13"/>
        <v>20</v>
      </c>
      <c r="AA13" s="51">
        <f t="shared" si="13"/>
        <v>20</v>
      </c>
      <c r="AB13" s="51">
        <f t="shared" si="13"/>
        <v>20</v>
      </c>
      <c r="AC13" s="51">
        <f t="shared" si="13"/>
        <v>20</v>
      </c>
      <c r="AD13" s="51">
        <f t="shared" si="13"/>
        <v>20</v>
      </c>
      <c r="AE13" s="51">
        <f t="shared" si="13"/>
        <v>20</v>
      </c>
      <c r="AF13" s="51">
        <f t="shared" si="13"/>
        <v>20</v>
      </c>
      <c r="AG13" s="51">
        <f t="shared" si="14"/>
        <v>20</v>
      </c>
      <c r="AH13" s="51">
        <f t="shared" si="14"/>
        <v>20</v>
      </c>
      <c r="AI13" s="51">
        <f t="shared" si="14"/>
        <v>20</v>
      </c>
      <c r="AJ13" s="51">
        <f t="shared" si="14"/>
        <v>20</v>
      </c>
      <c r="AK13" s="51">
        <f t="shared" si="14"/>
        <v>20</v>
      </c>
      <c r="AL13" s="51">
        <f t="shared" si="14"/>
        <v>20</v>
      </c>
      <c r="AM13" s="51">
        <f t="shared" si="14"/>
        <v>20</v>
      </c>
      <c r="AN13" s="51">
        <f t="shared" si="14"/>
        <v>20</v>
      </c>
      <c r="AO13" s="51">
        <f t="shared" si="14"/>
        <v>20</v>
      </c>
      <c r="AP13" s="51">
        <f t="shared" si="14"/>
        <v>20</v>
      </c>
      <c r="AQ13" s="51">
        <f t="shared" si="15"/>
        <v>20</v>
      </c>
      <c r="AR13" s="51">
        <f t="shared" si="15"/>
        <v>20</v>
      </c>
      <c r="AS13" s="51">
        <f t="shared" si="15"/>
        <v>20</v>
      </c>
      <c r="AT13" s="51">
        <f t="shared" si="15"/>
        <v>20</v>
      </c>
      <c r="AU13" s="51">
        <f t="shared" si="15"/>
        <v>20</v>
      </c>
      <c r="AV13" s="51">
        <f t="shared" si="15"/>
        <v>20</v>
      </c>
      <c r="AW13" s="51">
        <f t="shared" si="15"/>
        <v>20</v>
      </c>
      <c r="AX13" s="51">
        <f t="shared" si="15"/>
        <v>20</v>
      </c>
      <c r="AY13" s="51">
        <f t="shared" si="15"/>
        <v>20</v>
      </c>
      <c r="AZ13" s="51">
        <f t="shared" si="15"/>
        <v>20</v>
      </c>
      <c r="BA13" s="51">
        <f t="shared" si="16"/>
        <v>20</v>
      </c>
      <c r="BB13" s="51">
        <f t="shared" si="16"/>
        <v>20</v>
      </c>
      <c r="BC13" s="51">
        <f t="shared" si="16"/>
        <v>20</v>
      </c>
      <c r="BD13" s="51">
        <f t="shared" si="16"/>
        <v>20</v>
      </c>
      <c r="BE13" s="51">
        <f t="shared" si="16"/>
        <v>20</v>
      </c>
      <c r="BF13" s="51">
        <f t="shared" si="16"/>
        <v>20</v>
      </c>
      <c r="BG13" s="51">
        <f t="shared" si="16"/>
        <v>20</v>
      </c>
      <c r="BH13" s="51">
        <f t="shared" si="16"/>
        <v>20</v>
      </c>
      <c r="BI13" s="51">
        <f t="shared" si="16"/>
        <v>20</v>
      </c>
      <c r="BJ13" s="51">
        <f t="shared" si="16"/>
        <v>20</v>
      </c>
    </row>
    <row r="14" spans="1:69">
      <c r="A14" s="30" t="str">
        <f t="shared" si="8"/>
        <v>Рабочий убойного цеха</v>
      </c>
      <c r="B14" s="173">
        <f>Допущения!$E$4</f>
        <v>45992</v>
      </c>
      <c r="C14" s="51">
        <f t="shared" si="11"/>
        <v>0</v>
      </c>
      <c r="D14" s="51">
        <f t="shared" si="11"/>
        <v>0</v>
      </c>
      <c r="E14" s="51">
        <f t="shared" si="11"/>
        <v>0</v>
      </c>
      <c r="F14" s="51">
        <f t="shared" si="11"/>
        <v>16</v>
      </c>
      <c r="G14" s="51">
        <f t="shared" si="11"/>
        <v>16</v>
      </c>
      <c r="H14" s="51">
        <f t="shared" si="11"/>
        <v>16</v>
      </c>
      <c r="I14" s="51">
        <f t="shared" si="11"/>
        <v>16</v>
      </c>
      <c r="J14" s="51">
        <f t="shared" si="11"/>
        <v>16</v>
      </c>
      <c r="K14" s="51">
        <f t="shared" si="11"/>
        <v>16</v>
      </c>
      <c r="L14" s="51">
        <f t="shared" si="11"/>
        <v>16</v>
      </c>
      <c r="M14" s="51">
        <f t="shared" si="12"/>
        <v>16</v>
      </c>
      <c r="N14" s="51">
        <f t="shared" si="12"/>
        <v>16</v>
      </c>
      <c r="O14" s="51">
        <f t="shared" si="12"/>
        <v>16</v>
      </c>
      <c r="P14" s="51">
        <f t="shared" si="12"/>
        <v>16</v>
      </c>
      <c r="Q14" s="51">
        <f t="shared" si="12"/>
        <v>16</v>
      </c>
      <c r="R14" s="51">
        <f t="shared" si="12"/>
        <v>16</v>
      </c>
      <c r="S14" s="51">
        <f t="shared" si="12"/>
        <v>16</v>
      </c>
      <c r="T14" s="51">
        <f t="shared" si="12"/>
        <v>16</v>
      </c>
      <c r="U14" s="51">
        <f t="shared" si="12"/>
        <v>16</v>
      </c>
      <c r="V14" s="51">
        <f t="shared" si="12"/>
        <v>16</v>
      </c>
      <c r="W14" s="51">
        <f t="shared" si="13"/>
        <v>16</v>
      </c>
      <c r="X14" s="51">
        <f t="shared" si="13"/>
        <v>16</v>
      </c>
      <c r="Y14" s="51">
        <f t="shared" si="13"/>
        <v>16</v>
      </c>
      <c r="Z14" s="51">
        <f t="shared" si="13"/>
        <v>16</v>
      </c>
      <c r="AA14" s="51">
        <f t="shared" si="13"/>
        <v>16</v>
      </c>
      <c r="AB14" s="51">
        <f t="shared" si="13"/>
        <v>16</v>
      </c>
      <c r="AC14" s="51">
        <f t="shared" si="13"/>
        <v>16</v>
      </c>
      <c r="AD14" s="51">
        <f t="shared" si="13"/>
        <v>16</v>
      </c>
      <c r="AE14" s="51">
        <f t="shared" si="13"/>
        <v>16</v>
      </c>
      <c r="AF14" s="51">
        <f t="shared" si="13"/>
        <v>16</v>
      </c>
      <c r="AG14" s="51">
        <f t="shared" si="14"/>
        <v>16</v>
      </c>
      <c r="AH14" s="51">
        <f t="shared" si="14"/>
        <v>16</v>
      </c>
      <c r="AI14" s="51">
        <f t="shared" si="14"/>
        <v>16</v>
      </c>
      <c r="AJ14" s="51">
        <f t="shared" si="14"/>
        <v>16</v>
      </c>
      <c r="AK14" s="51">
        <f t="shared" si="14"/>
        <v>16</v>
      </c>
      <c r="AL14" s="51">
        <f t="shared" si="14"/>
        <v>16</v>
      </c>
      <c r="AM14" s="51">
        <f t="shared" si="14"/>
        <v>16</v>
      </c>
      <c r="AN14" s="51">
        <f t="shared" si="14"/>
        <v>16</v>
      </c>
      <c r="AO14" s="51">
        <f t="shared" si="14"/>
        <v>16</v>
      </c>
      <c r="AP14" s="51">
        <f t="shared" si="14"/>
        <v>16</v>
      </c>
      <c r="AQ14" s="51">
        <f t="shared" si="15"/>
        <v>16</v>
      </c>
      <c r="AR14" s="51">
        <f t="shared" si="15"/>
        <v>16</v>
      </c>
      <c r="AS14" s="51">
        <f t="shared" si="15"/>
        <v>16</v>
      </c>
      <c r="AT14" s="51">
        <f t="shared" si="15"/>
        <v>16</v>
      </c>
      <c r="AU14" s="51">
        <f t="shared" si="15"/>
        <v>16</v>
      </c>
      <c r="AV14" s="51">
        <f t="shared" si="15"/>
        <v>16</v>
      </c>
      <c r="AW14" s="51">
        <f t="shared" si="15"/>
        <v>16</v>
      </c>
      <c r="AX14" s="51">
        <f t="shared" si="15"/>
        <v>16</v>
      </c>
      <c r="AY14" s="51">
        <f t="shared" si="15"/>
        <v>16</v>
      </c>
      <c r="AZ14" s="51">
        <f t="shared" si="15"/>
        <v>16</v>
      </c>
      <c r="BA14" s="51">
        <f t="shared" si="16"/>
        <v>16</v>
      </c>
      <c r="BB14" s="51">
        <f t="shared" si="16"/>
        <v>16</v>
      </c>
      <c r="BC14" s="51">
        <f t="shared" si="16"/>
        <v>16</v>
      </c>
      <c r="BD14" s="51">
        <f t="shared" si="16"/>
        <v>16</v>
      </c>
      <c r="BE14" s="51">
        <f t="shared" si="16"/>
        <v>16</v>
      </c>
      <c r="BF14" s="51">
        <f t="shared" si="16"/>
        <v>16</v>
      </c>
      <c r="BG14" s="51">
        <f t="shared" si="16"/>
        <v>16</v>
      </c>
      <c r="BH14" s="51">
        <f t="shared" si="16"/>
        <v>16</v>
      </c>
      <c r="BI14" s="51">
        <f t="shared" si="16"/>
        <v>16</v>
      </c>
      <c r="BJ14" s="51">
        <f t="shared" si="16"/>
        <v>16</v>
      </c>
    </row>
    <row r="15" spans="1:69">
      <c r="A15" s="30" t="str">
        <f t="shared" si="8"/>
        <v>Оператор упаковки/шоковой заморозки</v>
      </c>
      <c r="B15" s="173">
        <f>Допущения!$E$4</f>
        <v>45992</v>
      </c>
      <c r="C15" s="51">
        <f t="shared" si="11"/>
        <v>0</v>
      </c>
      <c r="D15" s="51">
        <f t="shared" si="11"/>
        <v>0</v>
      </c>
      <c r="E15" s="51">
        <f t="shared" si="11"/>
        <v>0</v>
      </c>
      <c r="F15" s="51">
        <f t="shared" si="11"/>
        <v>10</v>
      </c>
      <c r="G15" s="51">
        <f t="shared" si="11"/>
        <v>10</v>
      </c>
      <c r="H15" s="51">
        <f t="shared" si="11"/>
        <v>10</v>
      </c>
      <c r="I15" s="51">
        <f t="shared" si="11"/>
        <v>10</v>
      </c>
      <c r="J15" s="51">
        <f t="shared" si="11"/>
        <v>10</v>
      </c>
      <c r="K15" s="51">
        <f t="shared" si="11"/>
        <v>10</v>
      </c>
      <c r="L15" s="51">
        <f t="shared" si="11"/>
        <v>10</v>
      </c>
      <c r="M15" s="51">
        <f t="shared" si="12"/>
        <v>10</v>
      </c>
      <c r="N15" s="51">
        <f t="shared" si="12"/>
        <v>10</v>
      </c>
      <c r="O15" s="51">
        <f t="shared" si="12"/>
        <v>10</v>
      </c>
      <c r="P15" s="51">
        <f t="shared" si="12"/>
        <v>10</v>
      </c>
      <c r="Q15" s="51">
        <f t="shared" si="12"/>
        <v>10</v>
      </c>
      <c r="R15" s="51">
        <f t="shared" si="12"/>
        <v>10</v>
      </c>
      <c r="S15" s="51">
        <f t="shared" si="12"/>
        <v>10</v>
      </c>
      <c r="T15" s="51">
        <f t="shared" si="12"/>
        <v>10</v>
      </c>
      <c r="U15" s="51">
        <f t="shared" si="12"/>
        <v>10</v>
      </c>
      <c r="V15" s="51">
        <f t="shared" si="12"/>
        <v>10</v>
      </c>
      <c r="W15" s="51">
        <f t="shared" si="13"/>
        <v>10</v>
      </c>
      <c r="X15" s="51">
        <f t="shared" si="13"/>
        <v>10</v>
      </c>
      <c r="Y15" s="51">
        <f t="shared" si="13"/>
        <v>10</v>
      </c>
      <c r="Z15" s="51">
        <f t="shared" si="13"/>
        <v>10</v>
      </c>
      <c r="AA15" s="51">
        <f t="shared" si="13"/>
        <v>10</v>
      </c>
      <c r="AB15" s="51">
        <f t="shared" si="13"/>
        <v>10</v>
      </c>
      <c r="AC15" s="51">
        <f t="shared" si="13"/>
        <v>10</v>
      </c>
      <c r="AD15" s="51">
        <f t="shared" si="13"/>
        <v>10</v>
      </c>
      <c r="AE15" s="51">
        <f t="shared" si="13"/>
        <v>10</v>
      </c>
      <c r="AF15" s="51">
        <f t="shared" si="13"/>
        <v>10</v>
      </c>
      <c r="AG15" s="51">
        <f t="shared" si="14"/>
        <v>10</v>
      </c>
      <c r="AH15" s="51">
        <f t="shared" si="14"/>
        <v>10</v>
      </c>
      <c r="AI15" s="51">
        <f t="shared" si="14"/>
        <v>10</v>
      </c>
      <c r="AJ15" s="51">
        <f t="shared" si="14"/>
        <v>10</v>
      </c>
      <c r="AK15" s="51">
        <f t="shared" si="14"/>
        <v>10</v>
      </c>
      <c r="AL15" s="51">
        <f t="shared" si="14"/>
        <v>10</v>
      </c>
      <c r="AM15" s="51">
        <f t="shared" si="14"/>
        <v>10</v>
      </c>
      <c r="AN15" s="51">
        <f t="shared" si="14"/>
        <v>10</v>
      </c>
      <c r="AO15" s="51">
        <f t="shared" si="14"/>
        <v>10</v>
      </c>
      <c r="AP15" s="51">
        <f t="shared" si="14"/>
        <v>10</v>
      </c>
      <c r="AQ15" s="51">
        <f t="shared" si="15"/>
        <v>10</v>
      </c>
      <c r="AR15" s="51">
        <f t="shared" si="15"/>
        <v>10</v>
      </c>
      <c r="AS15" s="51">
        <f t="shared" si="15"/>
        <v>10</v>
      </c>
      <c r="AT15" s="51">
        <f t="shared" si="15"/>
        <v>10</v>
      </c>
      <c r="AU15" s="51">
        <f t="shared" si="15"/>
        <v>10</v>
      </c>
      <c r="AV15" s="51">
        <f t="shared" si="15"/>
        <v>10</v>
      </c>
      <c r="AW15" s="51">
        <f t="shared" si="15"/>
        <v>10</v>
      </c>
      <c r="AX15" s="51">
        <f t="shared" si="15"/>
        <v>10</v>
      </c>
      <c r="AY15" s="51">
        <f t="shared" si="15"/>
        <v>10</v>
      </c>
      <c r="AZ15" s="51">
        <f t="shared" si="15"/>
        <v>10</v>
      </c>
      <c r="BA15" s="51">
        <f t="shared" si="16"/>
        <v>10</v>
      </c>
      <c r="BB15" s="51">
        <f t="shared" si="16"/>
        <v>10</v>
      </c>
      <c r="BC15" s="51">
        <f t="shared" si="16"/>
        <v>10</v>
      </c>
      <c r="BD15" s="51">
        <f t="shared" si="16"/>
        <v>10</v>
      </c>
      <c r="BE15" s="51">
        <f t="shared" si="16"/>
        <v>10</v>
      </c>
      <c r="BF15" s="51">
        <f t="shared" si="16"/>
        <v>10</v>
      </c>
      <c r="BG15" s="51">
        <f t="shared" si="16"/>
        <v>10</v>
      </c>
      <c r="BH15" s="51">
        <f t="shared" si="16"/>
        <v>10</v>
      </c>
      <c r="BI15" s="51">
        <f t="shared" si="16"/>
        <v>10</v>
      </c>
      <c r="BJ15" s="51">
        <f t="shared" si="16"/>
        <v>10</v>
      </c>
    </row>
    <row r="16" spans="1:69">
      <c r="A16" s="30" t="str">
        <f t="shared" si="8"/>
        <v>Оператор маринования/фасовки</v>
      </c>
      <c r="B16" s="173">
        <f>Допущения!$E$4</f>
        <v>45992</v>
      </c>
      <c r="C16" s="51">
        <f t="shared" si="11"/>
        <v>0</v>
      </c>
      <c r="D16" s="51">
        <f t="shared" si="11"/>
        <v>0</v>
      </c>
      <c r="E16" s="51">
        <f t="shared" si="11"/>
        <v>0</v>
      </c>
      <c r="F16" s="51">
        <f t="shared" si="11"/>
        <v>8</v>
      </c>
      <c r="G16" s="51">
        <f t="shared" si="11"/>
        <v>8</v>
      </c>
      <c r="H16" s="51">
        <f t="shared" si="11"/>
        <v>8</v>
      </c>
      <c r="I16" s="51">
        <f t="shared" si="11"/>
        <v>8</v>
      </c>
      <c r="J16" s="51">
        <f t="shared" si="11"/>
        <v>8</v>
      </c>
      <c r="K16" s="51">
        <f t="shared" si="11"/>
        <v>8</v>
      </c>
      <c r="L16" s="51">
        <f t="shared" si="11"/>
        <v>8</v>
      </c>
      <c r="M16" s="51">
        <f t="shared" si="12"/>
        <v>8</v>
      </c>
      <c r="N16" s="51">
        <f t="shared" si="12"/>
        <v>8</v>
      </c>
      <c r="O16" s="51">
        <f t="shared" si="12"/>
        <v>8</v>
      </c>
      <c r="P16" s="51">
        <f t="shared" si="12"/>
        <v>8</v>
      </c>
      <c r="Q16" s="51">
        <f t="shared" si="12"/>
        <v>8</v>
      </c>
      <c r="R16" s="51">
        <f t="shared" si="12"/>
        <v>8</v>
      </c>
      <c r="S16" s="51">
        <f t="shared" si="12"/>
        <v>8</v>
      </c>
      <c r="T16" s="51">
        <f t="shared" si="12"/>
        <v>8</v>
      </c>
      <c r="U16" s="51">
        <f t="shared" si="12"/>
        <v>8</v>
      </c>
      <c r="V16" s="51">
        <f t="shared" si="12"/>
        <v>8</v>
      </c>
      <c r="W16" s="51">
        <f t="shared" si="13"/>
        <v>8</v>
      </c>
      <c r="X16" s="51">
        <f t="shared" si="13"/>
        <v>8</v>
      </c>
      <c r="Y16" s="51">
        <f t="shared" si="13"/>
        <v>8</v>
      </c>
      <c r="Z16" s="51">
        <f t="shared" si="13"/>
        <v>8</v>
      </c>
      <c r="AA16" s="51">
        <f t="shared" si="13"/>
        <v>8</v>
      </c>
      <c r="AB16" s="51">
        <f t="shared" si="13"/>
        <v>8</v>
      </c>
      <c r="AC16" s="51">
        <f t="shared" si="13"/>
        <v>8</v>
      </c>
      <c r="AD16" s="51">
        <f t="shared" si="13"/>
        <v>8</v>
      </c>
      <c r="AE16" s="51">
        <f t="shared" si="13"/>
        <v>8</v>
      </c>
      <c r="AF16" s="51">
        <f t="shared" si="13"/>
        <v>8</v>
      </c>
      <c r="AG16" s="51">
        <f t="shared" si="14"/>
        <v>8</v>
      </c>
      <c r="AH16" s="51">
        <f t="shared" si="14"/>
        <v>8</v>
      </c>
      <c r="AI16" s="51">
        <f t="shared" si="14"/>
        <v>8</v>
      </c>
      <c r="AJ16" s="51">
        <f t="shared" si="14"/>
        <v>8</v>
      </c>
      <c r="AK16" s="51">
        <f t="shared" si="14"/>
        <v>8</v>
      </c>
      <c r="AL16" s="51">
        <f t="shared" si="14"/>
        <v>8</v>
      </c>
      <c r="AM16" s="51">
        <f t="shared" si="14"/>
        <v>8</v>
      </c>
      <c r="AN16" s="51">
        <f t="shared" si="14"/>
        <v>8</v>
      </c>
      <c r="AO16" s="51">
        <f t="shared" si="14"/>
        <v>8</v>
      </c>
      <c r="AP16" s="51">
        <f t="shared" si="14"/>
        <v>8</v>
      </c>
      <c r="AQ16" s="51">
        <f t="shared" si="15"/>
        <v>8</v>
      </c>
      <c r="AR16" s="51">
        <f t="shared" si="15"/>
        <v>8</v>
      </c>
      <c r="AS16" s="51">
        <f t="shared" si="15"/>
        <v>8</v>
      </c>
      <c r="AT16" s="51">
        <f t="shared" si="15"/>
        <v>8</v>
      </c>
      <c r="AU16" s="51">
        <f t="shared" si="15"/>
        <v>8</v>
      </c>
      <c r="AV16" s="51">
        <f t="shared" si="15"/>
        <v>8</v>
      </c>
      <c r="AW16" s="51">
        <f t="shared" si="15"/>
        <v>8</v>
      </c>
      <c r="AX16" s="51">
        <f t="shared" si="15"/>
        <v>8</v>
      </c>
      <c r="AY16" s="51">
        <f t="shared" si="15"/>
        <v>8</v>
      </c>
      <c r="AZ16" s="51">
        <f t="shared" si="15"/>
        <v>8</v>
      </c>
      <c r="BA16" s="51">
        <f t="shared" si="16"/>
        <v>8</v>
      </c>
      <c r="BB16" s="51">
        <f t="shared" si="16"/>
        <v>8</v>
      </c>
      <c r="BC16" s="51">
        <f t="shared" si="16"/>
        <v>8</v>
      </c>
      <c r="BD16" s="51">
        <f t="shared" si="16"/>
        <v>8</v>
      </c>
      <c r="BE16" s="51">
        <f t="shared" si="16"/>
        <v>8</v>
      </c>
      <c r="BF16" s="51">
        <f t="shared" si="16"/>
        <v>8</v>
      </c>
      <c r="BG16" s="51">
        <f t="shared" si="16"/>
        <v>8</v>
      </c>
      <c r="BH16" s="51">
        <f t="shared" si="16"/>
        <v>8</v>
      </c>
      <c r="BI16" s="51">
        <f t="shared" si="16"/>
        <v>8</v>
      </c>
      <c r="BJ16" s="51">
        <f t="shared" si="16"/>
        <v>8</v>
      </c>
    </row>
    <row r="17" spans="1:62">
      <c r="A17" s="30" t="str">
        <f t="shared" si="8"/>
        <v>Водитель погрузчика/кладовщик</v>
      </c>
      <c r="B17" s="173">
        <f>Допущения!$E$4</f>
        <v>45992</v>
      </c>
      <c r="C17" s="51">
        <f t="shared" si="11"/>
        <v>0</v>
      </c>
      <c r="D17" s="51">
        <f t="shared" si="11"/>
        <v>0</v>
      </c>
      <c r="E17" s="51">
        <f t="shared" si="11"/>
        <v>0</v>
      </c>
      <c r="F17" s="51">
        <f t="shared" si="11"/>
        <v>4</v>
      </c>
      <c r="G17" s="51">
        <f t="shared" si="11"/>
        <v>4</v>
      </c>
      <c r="H17" s="51">
        <f t="shared" si="11"/>
        <v>4</v>
      </c>
      <c r="I17" s="51">
        <f t="shared" si="11"/>
        <v>4</v>
      </c>
      <c r="J17" s="51">
        <f t="shared" si="11"/>
        <v>4</v>
      </c>
      <c r="K17" s="51">
        <f t="shared" si="11"/>
        <v>4</v>
      </c>
      <c r="L17" s="51">
        <f t="shared" si="11"/>
        <v>4</v>
      </c>
      <c r="M17" s="51">
        <f t="shared" si="12"/>
        <v>4</v>
      </c>
      <c r="N17" s="51">
        <f t="shared" si="12"/>
        <v>4</v>
      </c>
      <c r="O17" s="51">
        <f t="shared" si="12"/>
        <v>4</v>
      </c>
      <c r="P17" s="51">
        <f t="shared" si="12"/>
        <v>4</v>
      </c>
      <c r="Q17" s="51">
        <f t="shared" si="12"/>
        <v>4</v>
      </c>
      <c r="R17" s="51">
        <f t="shared" si="12"/>
        <v>4</v>
      </c>
      <c r="S17" s="51">
        <f t="shared" si="12"/>
        <v>4</v>
      </c>
      <c r="T17" s="51">
        <f t="shared" si="12"/>
        <v>4</v>
      </c>
      <c r="U17" s="51">
        <f t="shared" si="12"/>
        <v>4</v>
      </c>
      <c r="V17" s="51">
        <f t="shared" si="12"/>
        <v>4</v>
      </c>
      <c r="W17" s="51">
        <f t="shared" si="13"/>
        <v>4</v>
      </c>
      <c r="X17" s="51">
        <f t="shared" si="13"/>
        <v>4</v>
      </c>
      <c r="Y17" s="51">
        <f t="shared" si="13"/>
        <v>4</v>
      </c>
      <c r="Z17" s="51">
        <f t="shared" si="13"/>
        <v>4</v>
      </c>
      <c r="AA17" s="51">
        <f t="shared" si="13"/>
        <v>4</v>
      </c>
      <c r="AB17" s="51">
        <f t="shared" si="13"/>
        <v>4</v>
      </c>
      <c r="AC17" s="51">
        <f t="shared" si="13"/>
        <v>4</v>
      </c>
      <c r="AD17" s="51">
        <f t="shared" si="13"/>
        <v>4</v>
      </c>
      <c r="AE17" s="51">
        <f t="shared" si="13"/>
        <v>4</v>
      </c>
      <c r="AF17" s="51">
        <f t="shared" si="13"/>
        <v>4</v>
      </c>
      <c r="AG17" s="51">
        <f t="shared" si="14"/>
        <v>4</v>
      </c>
      <c r="AH17" s="51">
        <f t="shared" si="14"/>
        <v>4</v>
      </c>
      <c r="AI17" s="51">
        <f t="shared" si="14"/>
        <v>4</v>
      </c>
      <c r="AJ17" s="51">
        <f t="shared" si="14"/>
        <v>4</v>
      </c>
      <c r="AK17" s="51">
        <f t="shared" si="14"/>
        <v>4</v>
      </c>
      <c r="AL17" s="51">
        <f t="shared" si="14"/>
        <v>4</v>
      </c>
      <c r="AM17" s="51">
        <f t="shared" si="14"/>
        <v>4</v>
      </c>
      <c r="AN17" s="51">
        <f t="shared" si="14"/>
        <v>4</v>
      </c>
      <c r="AO17" s="51">
        <f t="shared" si="14"/>
        <v>4</v>
      </c>
      <c r="AP17" s="51">
        <f t="shared" si="14"/>
        <v>4</v>
      </c>
      <c r="AQ17" s="51">
        <f t="shared" si="15"/>
        <v>4</v>
      </c>
      <c r="AR17" s="51">
        <f t="shared" si="15"/>
        <v>4</v>
      </c>
      <c r="AS17" s="51">
        <f t="shared" si="15"/>
        <v>4</v>
      </c>
      <c r="AT17" s="51">
        <f t="shared" si="15"/>
        <v>4</v>
      </c>
      <c r="AU17" s="51">
        <f t="shared" si="15"/>
        <v>4</v>
      </c>
      <c r="AV17" s="51">
        <f t="shared" si="15"/>
        <v>4</v>
      </c>
      <c r="AW17" s="51">
        <f t="shared" si="15"/>
        <v>4</v>
      </c>
      <c r="AX17" s="51">
        <f t="shared" si="15"/>
        <v>4</v>
      </c>
      <c r="AY17" s="51">
        <f t="shared" si="15"/>
        <v>4</v>
      </c>
      <c r="AZ17" s="51">
        <f t="shared" si="15"/>
        <v>4</v>
      </c>
      <c r="BA17" s="51">
        <f t="shared" si="16"/>
        <v>4</v>
      </c>
      <c r="BB17" s="51">
        <f t="shared" si="16"/>
        <v>4</v>
      </c>
      <c r="BC17" s="51">
        <f t="shared" si="16"/>
        <v>4</v>
      </c>
      <c r="BD17" s="51">
        <f t="shared" si="16"/>
        <v>4</v>
      </c>
      <c r="BE17" s="51">
        <f t="shared" si="16"/>
        <v>4</v>
      </c>
      <c r="BF17" s="51">
        <f t="shared" si="16"/>
        <v>4</v>
      </c>
      <c r="BG17" s="51">
        <f t="shared" si="16"/>
        <v>4</v>
      </c>
      <c r="BH17" s="51">
        <f t="shared" si="16"/>
        <v>4</v>
      </c>
      <c r="BI17" s="51">
        <f t="shared" si="16"/>
        <v>4</v>
      </c>
      <c r="BJ17" s="51">
        <f t="shared" si="16"/>
        <v>4</v>
      </c>
    </row>
    <row r="18" spans="1:62">
      <c r="A18" s="30" t="str">
        <f t="shared" si="8"/>
        <v>Охранник</v>
      </c>
      <c r="B18" s="173">
        <f>Допущения!$E$4</f>
        <v>45992</v>
      </c>
      <c r="C18" s="51">
        <f t="shared" si="11"/>
        <v>0</v>
      </c>
      <c r="D18" s="51">
        <f t="shared" si="11"/>
        <v>0</v>
      </c>
      <c r="E18" s="51">
        <f t="shared" si="11"/>
        <v>0</v>
      </c>
      <c r="F18" s="51">
        <f t="shared" si="11"/>
        <v>6</v>
      </c>
      <c r="G18" s="51">
        <f t="shared" si="11"/>
        <v>6</v>
      </c>
      <c r="H18" s="51">
        <f t="shared" si="11"/>
        <v>6</v>
      </c>
      <c r="I18" s="51">
        <f t="shared" si="11"/>
        <v>6</v>
      </c>
      <c r="J18" s="51">
        <f t="shared" si="11"/>
        <v>6</v>
      </c>
      <c r="K18" s="51">
        <f t="shared" si="11"/>
        <v>6</v>
      </c>
      <c r="L18" s="51">
        <f t="shared" si="11"/>
        <v>6</v>
      </c>
      <c r="M18" s="51">
        <f t="shared" si="12"/>
        <v>6</v>
      </c>
      <c r="N18" s="51">
        <f t="shared" si="12"/>
        <v>6</v>
      </c>
      <c r="O18" s="51">
        <f t="shared" si="12"/>
        <v>6</v>
      </c>
      <c r="P18" s="51">
        <f t="shared" si="12"/>
        <v>6</v>
      </c>
      <c r="Q18" s="51">
        <f t="shared" si="12"/>
        <v>6</v>
      </c>
      <c r="R18" s="51">
        <f t="shared" si="12"/>
        <v>6</v>
      </c>
      <c r="S18" s="51">
        <f t="shared" si="12"/>
        <v>6</v>
      </c>
      <c r="T18" s="51">
        <f t="shared" si="12"/>
        <v>6</v>
      </c>
      <c r="U18" s="51">
        <f t="shared" si="12"/>
        <v>6</v>
      </c>
      <c r="V18" s="51">
        <f t="shared" si="12"/>
        <v>6</v>
      </c>
      <c r="W18" s="51">
        <f t="shared" si="13"/>
        <v>6</v>
      </c>
      <c r="X18" s="51">
        <f t="shared" si="13"/>
        <v>6</v>
      </c>
      <c r="Y18" s="51">
        <f t="shared" si="13"/>
        <v>6</v>
      </c>
      <c r="Z18" s="51">
        <f t="shared" si="13"/>
        <v>6</v>
      </c>
      <c r="AA18" s="51">
        <f t="shared" si="13"/>
        <v>6</v>
      </c>
      <c r="AB18" s="51">
        <f t="shared" si="13"/>
        <v>6</v>
      </c>
      <c r="AC18" s="51">
        <f t="shared" si="13"/>
        <v>6</v>
      </c>
      <c r="AD18" s="51">
        <f t="shared" si="13"/>
        <v>6</v>
      </c>
      <c r="AE18" s="51">
        <f t="shared" si="13"/>
        <v>6</v>
      </c>
      <c r="AF18" s="51">
        <f t="shared" si="13"/>
        <v>6</v>
      </c>
      <c r="AG18" s="51">
        <f t="shared" si="14"/>
        <v>6</v>
      </c>
      <c r="AH18" s="51">
        <f t="shared" si="14"/>
        <v>6</v>
      </c>
      <c r="AI18" s="51">
        <f t="shared" si="14"/>
        <v>6</v>
      </c>
      <c r="AJ18" s="51">
        <f t="shared" si="14"/>
        <v>6</v>
      </c>
      <c r="AK18" s="51">
        <f t="shared" si="14"/>
        <v>6</v>
      </c>
      <c r="AL18" s="51">
        <f t="shared" si="14"/>
        <v>6</v>
      </c>
      <c r="AM18" s="51">
        <f t="shared" si="14"/>
        <v>6</v>
      </c>
      <c r="AN18" s="51">
        <f t="shared" si="14"/>
        <v>6</v>
      </c>
      <c r="AO18" s="51">
        <f t="shared" si="14"/>
        <v>6</v>
      </c>
      <c r="AP18" s="51">
        <f t="shared" si="14"/>
        <v>6</v>
      </c>
      <c r="AQ18" s="51">
        <f t="shared" si="15"/>
        <v>6</v>
      </c>
      <c r="AR18" s="51">
        <f t="shared" si="15"/>
        <v>6</v>
      </c>
      <c r="AS18" s="51">
        <f t="shared" si="15"/>
        <v>6</v>
      </c>
      <c r="AT18" s="51">
        <f t="shared" si="15"/>
        <v>6</v>
      </c>
      <c r="AU18" s="51">
        <f t="shared" si="15"/>
        <v>6</v>
      </c>
      <c r="AV18" s="51">
        <f t="shared" si="15"/>
        <v>6</v>
      </c>
      <c r="AW18" s="51">
        <f t="shared" si="15"/>
        <v>6</v>
      </c>
      <c r="AX18" s="51">
        <f t="shared" si="15"/>
        <v>6</v>
      </c>
      <c r="AY18" s="51">
        <f t="shared" si="15"/>
        <v>6</v>
      </c>
      <c r="AZ18" s="51">
        <f t="shared" si="15"/>
        <v>6</v>
      </c>
      <c r="BA18" s="51">
        <f t="shared" si="16"/>
        <v>6</v>
      </c>
      <c r="BB18" s="51">
        <f t="shared" si="16"/>
        <v>6</v>
      </c>
      <c r="BC18" s="51">
        <f t="shared" si="16"/>
        <v>6</v>
      </c>
      <c r="BD18" s="51">
        <f t="shared" si="16"/>
        <v>6</v>
      </c>
      <c r="BE18" s="51">
        <f t="shared" si="16"/>
        <v>6</v>
      </c>
      <c r="BF18" s="51">
        <f t="shared" si="16"/>
        <v>6</v>
      </c>
      <c r="BG18" s="51">
        <f t="shared" si="16"/>
        <v>6</v>
      </c>
      <c r="BH18" s="51">
        <f t="shared" si="16"/>
        <v>6</v>
      </c>
      <c r="BI18" s="51">
        <f t="shared" si="16"/>
        <v>6</v>
      </c>
      <c r="BJ18" s="51">
        <f t="shared" si="16"/>
        <v>6</v>
      </c>
    </row>
    <row r="19" spans="1:62">
      <c r="A19" s="30" t="str">
        <f t="shared" si="8"/>
        <v>Уборщик</v>
      </c>
      <c r="B19" s="173">
        <f>Допущения!$E$4</f>
        <v>45992</v>
      </c>
      <c r="C19" s="51">
        <f t="shared" si="11"/>
        <v>0</v>
      </c>
      <c r="D19" s="51">
        <f t="shared" si="11"/>
        <v>0</v>
      </c>
      <c r="E19" s="51">
        <f t="shared" si="11"/>
        <v>0</v>
      </c>
      <c r="F19" s="51">
        <f t="shared" si="11"/>
        <v>6</v>
      </c>
      <c r="G19" s="51">
        <f t="shared" si="11"/>
        <v>6</v>
      </c>
      <c r="H19" s="51">
        <f t="shared" si="11"/>
        <v>6</v>
      </c>
      <c r="I19" s="51">
        <f t="shared" si="11"/>
        <v>6</v>
      </c>
      <c r="J19" s="51">
        <f t="shared" si="11"/>
        <v>6</v>
      </c>
      <c r="K19" s="51">
        <f t="shared" si="11"/>
        <v>6</v>
      </c>
      <c r="L19" s="51">
        <f t="shared" si="11"/>
        <v>6</v>
      </c>
      <c r="M19" s="51">
        <f t="shared" si="12"/>
        <v>6</v>
      </c>
      <c r="N19" s="51">
        <f t="shared" si="12"/>
        <v>6</v>
      </c>
      <c r="O19" s="51">
        <f t="shared" si="12"/>
        <v>6</v>
      </c>
      <c r="P19" s="51">
        <f t="shared" si="12"/>
        <v>6</v>
      </c>
      <c r="Q19" s="51">
        <f t="shared" si="12"/>
        <v>6</v>
      </c>
      <c r="R19" s="51">
        <f t="shared" si="12"/>
        <v>6</v>
      </c>
      <c r="S19" s="51">
        <f t="shared" si="12"/>
        <v>6</v>
      </c>
      <c r="T19" s="51">
        <f t="shared" si="12"/>
        <v>6</v>
      </c>
      <c r="U19" s="51">
        <f t="shared" si="12"/>
        <v>6</v>
      </c>
      <c r="V19" s="51">
        <f t="shared" si="12"/>
        <v>6</v>
      </c>
      <c r="W19" s="51">
        <f t="shared" si="13"/>
        <v>6</v>
      </c>
      <c r="X19" s="51">
        <f t="shared" si="13"/>
        <v>6</v>
      </c>
      <c r="Y19" s="51">
        <f t="shared" si="13"/>
        <v>6</v>
      </c>
      <c r="Z19" s="51">
        <f t="shared" si="13"/>
        <v>6</v>
      </c>
      <c r="AA19" s="51">
        <f t="shared" si="13"/>
        <v>6</v>
      </c>
      <c r="AB19" s="51">
        <f t="shared" si="13"/>
        <v>6</v>
      </c>
      <c r="AC19" s="51">
        <f t="shared" si="13"/>
        <v>6</v>
      </c>
      <c r="AD19" s="51">
        <f t="shared" si="13"/>
        <v>6</v>
      </c>
      <c r="AE19" s="51">
        <f t="shared" si="13"/>
        <v>6</v>
      </c>
      <c r="AF19" s="51">
        <f t="shared" si="13"/>
        <v>6</v>
      </c>
      <c r="AG19" s="51">
        <f t="shared" si="14"/>
        <v>6</v>
      </c>
      <c r="AH19" s="51">
        <f t="shared" si="14"/>
        <v>6</v>
      </c>
      <c r="AI19" s="51">
        <f t="shared" si="14"/>
        <v>6</v>
      </c>
      <c r="AJ19" s="51">
        <f t="shared" si="14"/>
        <v>6</v>
      </c>
      <c r="AK19" s="51">
        <f t="shared" si="14"/>
        <v>6</v>
      </c>
      <c r="AL19" s="51">
        <f t="shared" si="14"/>
        <v>6</v>
      </c>
      <c r="AM19" s="51">
        <f t="shared" si="14"/>
        <v>6</v>
      </c>
      <c r="AN19" s="51">
        <f t="shared" si="14"/>
        <v>6</v>
      </c>
      <c r="AO19" s="51">
        <f t="shared" si="14"/>
        <v>6</v>
      </c>
      <c r="AP19" s="51">
        <f t="shared" si="14"/>
        <v>6</v>
      </c>
      <c r="AQ19" s="51">
        <f t="shared" si="15"/>
        <v>6</v>
      </c>
      <c r="AR19" s="51">
        <f t="shared" si="15"/>
        <v>6</v>
      </c>
      <c r="AS19" s="51">
        <f t="shared" si="15"/>
        <v>6</v>
      </c>
      <c r="AT19" s="51">
        <f t="shared" si="15"/>
        <v>6</v>
      </c>
      <c r="AU19" s="51">
        <f t="shared" si="15"/>
        <v>6</v>
      </c>
      <c r="AV19" s="51">
        <f t="shared" si="15"/>
        <v>6</v>
      </c>
      <c r="AW19" s="51">
        <f t="shared" si="15"/>
        <v>6</v>
      </c>
      <c r="AX19" s="51">
        <f t="shared" si="15"/>
        <v>6</v>
      </c>
      <c r="AY19" s="51">
        <f t="shared" si="15"/>
        <v>6</v>
      </c>
      <c r="AZ19" s="51">
        <f t="shared" si="15"/>
        <v>6</v>
      </c>
      <c r="BA19" s="51">
        <f t="shared" si="16"/>
        <v>6</v>
      </c>
      <c r="BB19" s="51">
        <f t="shared" si="16"/>
        <v>6</v>
      </c>
      <c r="BC19" s="51">
        <f t="shared" si="16"/>
        <v>6</v>
      </c>
      <c r="BD19" s="51">
        <f t="shared" si="16"/>
        <v>6</v>
      </c>
      <c r="BE19" s="51">
        <f t="shared" si="16"/>
        <v>6</v>
      </c>
      <c r="BF19" s="51">
        <f t="shared" si="16"/>
        <v>6</v>
      </c>
      <c r="BG19" s="51">
        <f t="shared" si="16"/>
        <v>6</v>
      </c>
      <c r="BH19" s="51">
        <f t="shared" si="16"/>
        <v>6</v>
      </c>
      <c r="BI19" s="51">
        <f t="shared" si="16"/>
        <v>6</v>
      </c>
      <c r="BJ19" s="51">
        <f t="shared" si="16"/>
        <v>6</v>
      </c>
    </row>
    <row r="20" spans="1:62">
      <c r="A20" s="34" t="str">
        <f t="shared" ref="A20:A22" si="17">A128</f>
        <v>Коммерческий персонал</v>
      </c>
      <c r="B20" s="142"/>
      <c r="C20" s="78">
        <f>SUM(C21:C23)</f>
        <v>0</v>
      </c>
      <c r="D20" s="78">
        <f t="shared" ref="D20:BJ20" si="18">SUM(D21:D23)</f>
        <v>0</v>
      </c>
      <c r="E20" s="78">
        <f t="shared" si="18"/>
        <v>0</v>
      </c>
      <c r="F20" s="78">
        <f t="shared" si="18"/>
        <v>8</v>
      </c>
      <c r="G20" s="78">
        <f t="shared" si="18"/>
        <v>8</v>
      </c>
      <c r="H20" s="78">
        <f t="shared" si="18"/>
        <v>8</v>
      </c>
      <c r="I20" s="78">
        <f t="shared" si="18"/>
        <v>8</v>
      </c>
      <c r="J20" s="78">
        <f t="shared" si="18"/>
        <v>8</v>
      </c>
      <c r="K20" s="78">
        <f t="shared" si="18"/>
        <v>8</v>
      </c>
      <c r="L20" s="78">
        <f t="shared" si="18"/>
        <v>8</v>
      </c>
      <c r="M20" s="78">
        <f t="shared" si="18"/>
        <v>8</v>
      </c>
      <c r="N20" s="78">
        <f t="shared" si="18"/>
        <v>8</v>
      </c>
      <c r="O20" s="78">
        <f t="shared" si="18"/>
        <v>8</v>
      </c>
      <c r="P20" s="78">
        <f t="shared" si="18"/>
        <v>8</v>
      </c>
      <c r="Q20" s="78">
        <f t="shared" si="18"/>
        <v>8</v>
      </c>
      <c r="R20" s="78">
        <f t="shared" si="18"/>
        <v>8</v>
      </c>
      <c r="S20" s="78">
        <f t="shared" si="18"/>
        <v>8</v>
      </c>
      <c r="T20" s="78">
        <f t="shared" si="18"/>
        <v>8</v>
      </c>
      <c r="U20" s="78">
        <f t="shared" si="18"/>
        <v>8</v>
      </c>
      <c r="V20" s="78">
        <f t="shared" si="18"/>
        <v>8</v>
      </c>
      <c r="W20" s="78">
        <f t="shared" si="18"/>
        <v>8</v>
      </c>
      <c r="X20" s="78">
        <f t="shared" si="18"/>
        <v>8</v>
      </c>
      <c r="Y20" s="78">
        <f t="shared" si="18"/>
        <v>8</v>
      </c>
      <c r="Z20" s="78">
        <f t="shared" si="18"/>
        <v>8</v>
      </c>
      <c r="AA20" s="78">
        <f t="shared" si="18"/>
        <v>8</v>
      </c>
      <c r="AB20" s="78">
        <f t="shared" si="18"/>
        <v>8</v>
      </c>
      <c r="AC20" s="78">
        <f t="shared" si="18"/>
        <v>8</v>
      </c>
      <c r="AD20" s="78">
        <f t="shared" si="18"/>
        <v>8</v>
      </c>
      <c r="AE20" s="78">
        <f t="shared" si="18"/>
        <v>8</v>
      </c>
      <c r="AF20" s="78">
        <f t="shared" si="18"/>
        <v>8</v>
      </c>
      <c r="AG20" s="78">
        <f t="shared" si="18"/>
        <v>8</v>
      </c>
      <c r="AH20" s="78">
        <f t="shared" si="18"/>
        <v>8</v>
      </c>
      <c r="AI20" s="78">
        <f t="shared" si="18"/>
        <v>8</v>
      </c>
      <c r="AJ20" s="78">
        <f t="shared" si="18"/>
        <v>8</v>
      </c>
      <c r="AK20" s="78">
        <f t="shared" si="18"/>
        <v>8</v>
      </c>
      <c r="AL20" s="78">
        <f t="shared" si="18"/>
        <v>8</v>
      </c>
      <c r="AM20" s="78">
        <f t="shared" si="18"/>
        <v>8</v>
      </c>
      <c r="AN20" s="78">
        <f t="shared" si="18"/>
        <v>8</v>
      </c>
      <c r="AO20" s="78">
        <f t="shared" si="18"/>
        <v>8</v>
      </c>
      <c r="AP20" s="78">
        <f t="shared" si="18"/>
        <v>8</v>
      </c>
      <c r="AQ20" s="78">
        <f t="shared" si="18"/>
        <v>8</v>
      </c>
      <c r="AR20" s="78">
        <f t="shared" si="18"/>
        <v>8</v>
      </c>
      <c r="AS20" s="78">
        <f t="shared" si="18"/>
        <v>8</v>
      </c>
      <c r="AT20" s="78">
        <f t="shared" si="18"/>
        <v>8</v>
      </c>
      <c r="AU20" s="78">
        <f t="shared" si="18"/>
        <v>8</v>
      </c>
      <c r="AV20" s="78">
        <f t="shared" si="18"/>
        <v>8</v>
      </c>
      <c r="AW20" s="78">
        <f t="shared" si="18"/>
        <v>8</v>
      </c>
      <c r="AX20" s="78">
        <f t="shared" si="18"/>
        <v>8</v>
      </c>
      <c r="AY20" s="78">
        <f t="shared" si="18"/>
        <v>8</v>
      </c>
      <c r="AZ20" s="78">
        <f t="shared" si="18"/>
        <v>8</v>
      </c>
      <c r="BA20" s="78">
        <f t="shared" si="18"/>
        <v>8</v>
      </c>
      <c r="BB20" s="78">
        <f t="shared" si="18"/>
        <v>8</v>
      </c>
      <c r="BC20" s="78">
        <f t="shared" si="18"/>
        <v>8</v>
      </c>
      <c r="BD20" s="78">
        <f t="shared" si="18"/>
        <v>8</v>
      </c>
      <c r="BE20" s="78">
        <f t="shared" si="18"/>
        <v>8</v>
      </c>
      <c r="BF20" s="78">
        <f t="shared" si="18"/>
        <v>8</v>
      </c>
      <c r="BG20" s="78">
        <f t="shared" si="18"/>
        <v>8</v>
      </c>
      <c r="BH20" s="78">
        <f t="shared" si="18"/>
        <v>8</v>
      </c>
      <c r="BI20" s="78">
        <f t="shared" si="18"/>
        <v>8</v>
      </c>
      <c r="BJ20" s="78">
        <f t="shared" si="18"/>
        <v>8</v>
      </c>
    </row>
    <row r="21" spans="1:62">
      <c r="A21" s="30" t="str">
        <f t="shared" si="17"/>
        <v>Менеджер по продажам</v>
      </c>
      <c r="B21" s="50">
        <f>Допущения!$E$4</f>
        <v>45992</v>
      </c>
      <c r="C21" s="51">
        <f t="shared" ref="C21:L23" si="19">IF(C$3&lt;$B21,0,SUMIF($A$10:$A$31,$A21,$B$118:$B$139))</f>
        <v>0</v>
      </c>
      <c r="D21" s="51">
        <f t="shared" si="19"/>
        <v>0</v>
      </c>
      <c r="E21" s="51">
        <f t="shared" si="19"/>
        <v>0</v>
      </c>
      <c r="F21" s="51">
        <f t="shared" si="19"/>
        <v>4</v>
      </c>
      <c r="G21" s="51">
        <f t="shared" si="19"/>
        <v>4</v>
      </c>
      <c r="H21" s="51">
        <f t="shared" si="19"/>
        <v>4</v>
      </c>
      <c r="I21" s="51">
        <f t="shared" si="19"/>
        <v>4</v>
      </c>
      <c r="J21" s="51">
        <f t="shared" si="19"/>
        <v>4</v>
      </c>
      <c r="K21" s="51">
        <f t="shared" si="19"/>
        <v>4</v>
      </c>
      <c r="L21" s="51">
        <f t="shared" si="19"/>
        <v>4</v>
      </c>
      <c r="M21" s="51">
        <f t="shared" ref="M21:V23" si="20">IF(M$3&lt;$B21,0,SUMIF($A$10:$A$31,$A21,$B$118:$B$139))</f>
        <v>4</v>
      </c>
      <c r="N21" s="51">
        <f t="shared" si="20"/>
        <v>4</v>
      </c>
      <c r="O21" s="51">
        <f t="shared" si="20"/>
        <v>4</v>
      </c>
      <c r="P21" s="51">
        <f t="shared" si="20"/>
        <v>4</v>
      </c>
      <c r="Q21" s="51">
        <f t="shared" si="20"/>
        <v>4</v>
      </c>
      <c r="R21" s="51">
        <f t="shared" si="20"/>
        <v>4</v>
      </c>
      <c r="S21" s="51">
        <f t="shared" si="20"/>
        <v>4</v>
      </c>
      <c r="T21" s="51">
        <f t="shared" si="20"/>
        <v>4</v>
      </c>
      <c r="U21" s="51">
        <f t="shared" si="20"/>
        <v>4</v>
      </c>
      <c r="V21" s="51">
        <f t="shared" si="20"/>
        <v>4</v>
      </c>
      <c r="W21" s="51">
        <f t="shared" ref="W21:AF23" si="21">IF(W$3&lt;$B21,0,SUMIF($A$10:$A$31,$A21,$B$118:$B$139))</f>
        <v>4</v>
      </c>
      <c r="X21" s="51">
        <f t="shared" si="21"/>
        <v>4</v>
      </c>
      <c r="Y21" s="51">
        <f t="shared" si="21"/>
        <v>4</v>
      </c>
      <c r="Z21" s="51">
        <f t="shared" si="21"/>
        <v>4</v>
      </c>
      <c r="AA21" s="51">
        <f t="shared" si="21"/>
        <v>4</v>
      </c>
      <c r="AB21" s="51">
        <f t="shared" si="21"/>
        <v>4</v>
      </c>
      <c r="AC21" s="51">
        <f t="shared" si="21"/>
        <v>4</v>
      </c>
      <c r="AD21" s="51">
        <f t="shared" si="21"/>
        <v>4</v>
      </c>
      <c r="AE21" s="51">
        <f t="shared" si="21"/>
        <v>4</v>
      </c>
      <c r="AF21" s="51">
        <f t="shared" si="21"/>
        <v>4</v>
      </c>
      <c r="AG21" s="51">
        <f t="shared" ref="AG21:AP23" si="22">IF(AG$3&lt;$B21,0,SUMIF($A$10:$A$31,$A21,$B$118:$B$139))</f>
        <v>4</v>
      </c>
      <c r="AH21" s="51">
        <f t="shared" si="22"/>
        <v>4</v>
      </c>
      <c r="AI21" s="51">
        <f t="shared" si="22"/>
        <v>4</v>
      </c>
      <c r="AJ21" s="51">
        <f t="shared" si="22"/>
        <v>4</v>
      </c>
      <c r="AK21" s="51">
        <f t="shared" si="22"/>
        <v>4</v>
      </c>
      <c r="AL21" s="51">
        <f t="shared" si="22"/>
        <v>4</v>
      </c>
      <c r="AM21" s="51">
        <f t="shared" si="22"/>
        <v>4</v>
      </c>
      <c r="AN21" s="51">
        <f t="shared" si="22"/>
        <v>4</v>
      </c>
      <c r="AO21" s="51">
        <f t="shared" si="22"/>
        <v>4</v>
      </c>
      <c r="AP21" s="51">
        <f t="shared" si="22"/>
        <v>4</v>
      </c>
      <c r="AQ21" s="51">
        <f t="shared" ref="AQ21:AZ23" si="23">IF(AQ$3&lt;$B21,0,SUMIF($A$10:$A$31,$A21,$B$118:$B$139))</f>
        <v>4</v>
      </c>
      <c r="AR21" s="51">
        <f t="shared" si="23"/>
        <v>4</v>
      </c>
      <c r="AS21" s="51">
        <f t="shared" si="23"/>
        <v>4</v>
      </c>
      <c r="AT21" s="51">
        <f t="shared" si="23"/>
        <v>4</v>
      </c>
      <c r="AU21" s="51">
        <f t="shared" si="23"/>
        <v>4</v>
      </c>
      <c r="AV21" s="51">
        <f t="shared" si="23"/>
        <v>4</v>
      </c>
      <c r="AW21" s="51">
        <f t="shared" si="23"/>
        <v>4</v>
      </c>
      <c r="AX21" s="51">
        <f t="shared" si="23"/>
        <v>4</v>
      </c>
      <c r="AY21" s="51">
        <f t="shared" si="23"/>
        <v>4</v>
      </c>
      <c r="AZ21" s="51">
        <f t="shared" si="23"/>
        <v>4</v>
      </c>
      <c r="BA21" s="51">
        <f t="shared" ref="BA21:BJ23" si="24">IF(BA$3&lt;$B21,0,SUMIF($A$10:$A$31,$A21,$B$118:$B$139))</f>
        <v>4</v>
      </c>
      <c r="BB21" s="51">
        <f t="shared" si="24"/>
        <v>4</v>
      </c>
      <c r="BC21" s="51">
        <f t="shared" si="24"/>
        <v>4</v>
      </c>
      <c r="BD21" s="51">
        <f t="shared" si="24"/>
        <v>4</v>
      </c>
      <c r="BE21" s="51">
        <f t="shared" si="24"/>
        <v>4</v>
      </c>
      <c r="BF21" s="51">
        <f t="shared" si="24"/>
        <v>4</v>
      </c>
      <c r="BG21" s="51">
        <f t="shared" si="24"/>
        <v>4</v>
      </c>
      <c r="BH21" s="51">
        <f t="shared" si="24"/>
        <v>4</v>
      </c>
      <c r="BI21" s="51">
        <f t="shared" si="24"/>
        <v>4</v>
      </c>
      <c r="BJ21" s="51">
        <f t="shared" si="24"/>
        <v>4</v>
      </c>
    </row>
    <row r="22" spans="1:62">
      <c r="A22" s="30" t="str">
        <f t="shared" si="17"/>
        <v>Менеджер по закупкам</v>
      </c>
      <c r="B22" s="50">
        <f>Допущения!$E$4</f>
        <v>45992</v>
      </c>
      <c r="C22" s="51">
        <f t="shared" si="19"/>
        <v>0</v>
      </c>
      <c r="D22" s="51">
        <f t="shared" si="19"/>
        <v>0</v>
      </c>
      <c r="E22" s="51">
        <f t="shared" si="19"/>
        <v>0</v>
      </c>
      <c r="F22" s="51">
        <f t="shared" si="19"/>
        <v>4</v>
      </c>
      <c r="G22" s="51">
        <f t="shared" si="19"/>
        <v>4</v>
      </c>
      <c r="H22" s="51">
        <f t="shared" si="19"/>
        <v>4</v>
      </c>
      <c r="I22" s="51">
        <f t="shared" si="19"/>
        <v>4</v>
      </c>
      <c r="J22" s="51">
        <f t="shared" si="19"/>
        <v>4</v>
      </c>
      <c r="K22" s="51">
        <f t="shared" si="19"/>
        <v>4</v>
      </c>
      <c r="L22" s="51">
        <f t="shared" si="19"/>
        <v>4</v>
      </c>
      <c r="M22" s="51">
        <f t="shared" si="20"/>
        <v>4</v>
      </c>
      <c r="N22" s="51">
        <f t="shared" si="20"/>
        <v>4</v>
      </c>
      <c r="O22" s="51">
        <f t="shared" si="20"/>
        <v>4</v>
      </c>
      <c r="P22" s="51">
        <f t="shared" si="20"/>
        <v>4</v>
      </c>
      <c r="Q22" s="51">
        <f t="shared" si="20"/>
        <v>4</v>
      </c>
      <c r="R22" s="51">
        <f t="shared" si="20"/>
        <v>4</v>
      </c>
      <c r="S22" s="51">
        <f t="shared" si="20"/>
        <v>4</v>
      </c>
      <c r="T22" s="51">
        <f t="shared" si="20"/>
        <v>4</v>
      </c>
      <c r="U22" s="51">
        <f t="shared" si="20"/>
        <v>4</v>
      </c>
      <c r="V22" s="51">
        <f t="shared" si="20"/>
        <v>4</v>
      </c>
      <c r="W22" s="51">
        <f t="shared" si="21"/>
        <v>4</v>
      </c>
      <c r="X22" s="51">
        <f t="shared" si="21"/>
        <v>4</v>
      </c>
      <c r="Y22" s="51">
        <f t="shared" si="21"/>
        <v>4</v>
      </c>
      <c r="Z22" s="51">
        <f t="shared" si="21"/>
        <v>4</v>
      </c>
      <c r="AA22" s="51">
        <f t="shared" si="21"/>
        <v>4</v>
      </c>
      <c r="AB22" s="51">
        <f t="shared" si="21"/>
        <v>4</v>
      </c>
      <c r="AC22" s="51">
        <f t="shared" si="21"/>
        <v>4</v>
      </c>
      <c r="AD22" s="51">
        <f t="shared" si="21"/>
        <v>4</v>
      </c>
      <c r="AE22" s="51">
        <f t="shared" si="21"/>
        <v>4</v>
      </c>
      <c r="AF22" s="51">
        <f t="shared" si="21"/>
        <v>4</v>
      </c>
      <c r="AG22" s="51">
        <f t="shared" si="22"/>
        <v>4</v>
      </c>
      <c r="AH22" s="51">
        <f t="shared" si="22"/>
        <v>4</v>
      </c>
      <c r="AI22" s="51">
        <f t="shared" si="22"/>
        <v>4</v>
      </c>
      <c r="AJ22" s="51">
        <f t="shared" si="22"/>
        <v>4</v>
      </c>
      <c r="AK22" s="51">
        <f t="shared" si="22"/>
        <v>4</v>
      </c>
      <c r="AL22" s="51">
        <f t="shared" si="22"/>
        <v>4</v>
      </c>
      <c r="AM22" s="51">
        <f t="shared" si="22"/>
        <v>4</v>
      </c>
      <c r="AN22" s="51">
        <f t="shared" si="22"/>
        <v>4</v>
      </c>
      <c r="AO22" s="51">
        <f t="shared" si="22"/>
        <v>4</v>
      </c>
      <c r="AP22" s="51">
        <f t="shared" si="22"/>
        <v>4</v>
      </c>
      <c r="AQ22" s="51">
        <f t="shared" si="23"/>
        <v>4</v>
      </c>
      <c r="AR22" s="51">
        <f t="shared" si="23"/>
        <v>4</v>
      </c>
      <c r="AS22" s="51">
        <f t="shared" si="23"/>
        <v>4</v>
      </c>
      <c r="AT22" s="51">
        <f t="shared" si="23"/>
        <v>4</v>
      </c>
      <c r="AU22" s="51">
        <f t="shared" si="23"/>
        <v>4</v>
      </c>
      <c r="AV22" s="51">
        <f t="shared" si="23"/>
        <v>4</v>
      </c>
      <c r="AW22" s="51">
        <f t="shared" si="23"/>
        <v>4</v>
      </c>
      <c r="AX22" s="51">
        <f t="shared" si="23"/>
        <v>4</v>
      </c>
      <c r="AY22" s="51">
        <f t="shared" si="23"/>
        <v>4</v>
      </c>
      <c r="AZ22" s="51">
        <f t="shared" si="23"/>
        <v>4</v>
      </c>
      <c r="BA22" s="51">
        <f t="shared" si="24"/>
        <v>4</v>
      </c>
      <c r="BB22" s="51">
        <f t="shared" si="24"/>
        <v>4</v>
      </c>
      <c r="BC22" s="51">
        <f t="shared" si="24"/>
        <v>4</v>
      </c>
      <c r="BD22" s="51">
        <f t="shared" si="24"/>
        <v>4</v>
      </c>
      <c r="BE22" s="51">
        <f t="shared" si="24"/>
        <v>4</v>
      </c>
      <c r="BF22" s="51">
        <f t="shared" si="24"/>
        <v>4</v>
      </c>
      <c r="BG22" s="51">
        <f t="shared" si="24"/>
        <v>4</v>
      </c>
      <c r="BH22" s="51">
        <f t="shared" si="24"/>
        <v>4</v>
      </c>
      <c r="BI22" s="51">
        <f t="shared" si="24"/>
        <v>4</v>
      </c>
      <c r="BJ22" s="51">
        <f t="shared" si="24"/>
        <v>4</v>
      </c>
    </row>
    <row r="23" spans="1:62">
      <c r="A23" s="30"/>
      <c r="B23" s="50">
        <f>Допущения!$E$4</f>
        <v>45992</v>
      </c>
      <c r="C23" s="51">
        <f t="shared" si="19"/>
        <v>0</v>
      </c>
      <c r="D23" s="51">
        <f t="shared" si="19"/>
        <v>0</v>
      </c>
      <c r="E23" s="51">
        <f t="shared" si="19"/>
        <v>0</v>
      </c>
      <c r="F23" s="51">
        <f t="shared" si="19"/>
        <v>0</v>
      </c>
      <c r="G23" s="51">
        <f t="shared" si="19"/>
        <v>0</v>
      </c>
      <c r="H23" s="51">
        <f t="shared" si="19"/>
        <v>0</v>
      </c>
      <c r="I23" s="51">
        <f t="shared" si="19"/>
        <v>0</v>
      </c>
      <c r="J23" s="51">
        <f t="shared" si="19"/>
        <v>0</v>
      </c>
      <c r="K23" s="51">
        <f t="shared" si="19"/>
        <v>0</v>
      </c>
      <c r="L23" s="51">
        <f t="shared" si="19"/>
        <v>0</v>
      </c>
      <c r="M23" s="51">
        <f t="shared" si="20"/>
        <v>0</v>
      </c>
      <c r="N23" s="51">
        <f t="shared" si="20"/>
        <v>0</v>
      </c>
      <c r="O23" s="51">
        <f t="shared" si="20"/>
        <v>0</v>
      </c>
      <c r="P23" s="51">
        <f t="shared" si="20"/>
        <v>0</v>
      </c>
      <c r="Q23" s="51">
        <f t="shared" si="20"/>
        <v>0</v>
      </c>
      <c r="R23" s="51">
        <f t="shared" si="20"/>
        <v>0</v>
      </c>
      <c r="S23" s="51">
        <f t="shared" si="20"/>
        <v>0</v>
      </c>
      <c r="T23" s="51">
        <f t="shared" si="20"/>
        <v>0</v>
      </c>
      <c r="U23" s="51">
        <f t="shared" si="20"/>
        <v>0</v>
      </c>
      <c r="V23" s="51">
        <f t="shared" si="20"/>
        <v>0</v>
      </c>
      <c r="W23" s="51">
        <f t="shared" si="21"/>
        <v>0</v>
      </c>
      <c r="X23" s="51">
        <f t="shared" si="21"/>
        <v>0</v>
      </c>
      <c r="Y23" s="51">
        <f t="shared" si="21"/>
        <v>0</v>
      </c>
      <c r="Z23" s="51">
        <f t="shared" si="21"/>
        <v>0</v>
      </c>
      <c r="AA23" s="51">
        <f t="shared" si="21"/>
        <v>0</v>
      </c>
      <c r="AB23" s="51">
        <f t="shared" si="21"/>
        <v>0</v>
      </c>
      <c r="AC23" s="51">
        <f t="shared" si="21"/>
        <v>0</v>
      </c>
      <c r="AD23" s="51">
        <f t="shared" si="21"/>
        <v>0</v>
      </c>
      <c r="AE23" s="51">
        <f t="shared" si="21"/>
        <v>0</v>
      </c>
      <c r="AF23" s="51">
        <f t="shared" si="21"/>
        <v>0</v>
      </c>
      <c r="AG23" s="51">
        <f t="shared" si="22"/>
        <v>0</v>
      </c>
      <c r="AH23" s="51">
        <f t="shared" si="22"/>
        <v>0</v>
      </c>
      <c r="AI23" s="51">
        <f t="shared" si="22"/>
        <v>0</v>
      </c>
      <c r="AJ23" s="51">
        <f t="shared" si="22"/>
        <v>0</v>
      </c>
      <c r="AK23" s="51">
        <f t="shared" si="22"/>
        <v>0</v>
      </c>
      <c r="AL23" s="51">
        <f t="shared" si="22"/>
        <v>0</v>
      </c>
      <c r="AM23" s="51">
        <f t="shared" si="22"/>
        <v>0</v>
      </c>
      <c r="AN23" s="51">
        <f t="shared" si="22"/>
        <v>0</v>
      </c>
      <c r="AO23" s="51">
        <f t="shared" si="22"/>
        <v>0</v>
      </c>
      <c r="AP23" s="51">
        <f t="shared" si="22"/>
        <v>0</v>
      </c>
      <c r="AQ23" s="51">
        <f t="shared" si="23"/>
        <v>0</v>
      </c>
      <c r="AR23" s="51">
        <f t="shared" si="23"/>
        <v>0</v>
      </c>
      <c r="AS23" s="51">
        <f t="shared" si="23"/>
        <v>0</v>
      </c>
      <c r="AT23" s="51">
        <f t="shared" si="23"/>
        <v>0</v>
      </c>
      <c r="AU23" s="51">
        <f t="shared" si="23"/>
        <v>0</v>
      </c>
      <c r="AV23" s="51">
        <f t="shared" si="23"/>
        <v>0</v>
      </c>
      <c r="AW23" s="51">
        <f t="shared" si="23"/>
        <v>0</v>
      </c>
      <c r="AX23" s="51">
        <f t="shared" si="23"/>
        <v>0</v>
      </c>
      <c r="AY23" s="51">
        <f t="shared" si="23"/>
        <v>0</v>
      </c>
      <c r="AZ23" s="51">
        <f t="shared" si="23"/>
        <v>0</v>
      </c>
      <c r="BA23" s="51">
        <f t="shared" si="24"/>
        <v>0</v>
      </c>
      <c r="BB23" s="51">
        <f t="shared" si="24"/>
        <v>0</v>
      </c>
      <c r="BC23" s="51">
        <f t="shared" si="24"/>
        <v>0</v>
      </c>
      <c r="BD23" s="51">
        <f t="shared" si="24"/>
        <v>0</v>
      </c>
      <c r="BE23" s="51">
        <f t="shared" si="24"/>
        <v>0</v>
      </c>
      <c r="BF23" s="51">
        <f t="shared" si="24"/>
        <v>0</v>
      </c>
      <c r="BG23" s="51">
        <f t="shared" si="24"/>
        <v>0</v>
      </c>
      <c r="BH23" s="51">
        <f t="shared" si="24"/>
        <v>0</v>
      </c>
      <c r="BI23" s="51">
        <f t="shared" si="24"/>
        <v>0</v>
      </c>
      <c r="BJ23" s="51">
        <f t="shared" si="24"/>
        <v>0</v>
      </c>
    </row>
    <row r="24" spans="1:62">
      <c r="A24" s="34" t="str">
        <f>A132</f>
        <v>Административный персонал</v>
      </c>
      <c r="B24" s="142"/>
      <c r="C24" s="78">
        <f t="shared" ref="C24:AH24" si="25">SUM(C25:C31)</f>
        <v>14</v>
      </c>
      <c r="D24" s="78">
        <f t="shared" si="25"/>
        <v>14</v>
      </c>
      <c r="E24" s="78">
        <f t="shared" si="25"/>
        <v>14</v>
      </c>
      <c r="F24" s="78">
        <f t="shared" si="25"/>
        <v>14</v>
      </c>
      <c r="G24" s="78">
        <f t="shared" si="25"/>
        <v>14</v>
      </c>
      <c r="H24" s="78">
        <f t="shared" si="25"/>
        <v>14</v>
      </c>
      <c r="I24" s="78">
        <f t="shared" si="25"/>
        <v>14</v>
      </c>
      <c r="J24" s="78">
        <f t="shared" si="25"/>
        <v>14</v>
      </c>
      <c r="K24" s="78">
        <f t="shared" si="25"/>
        <v>14</v>
      </c>
      <c r="L24" s="78">
        <f t="shared" si="25"/>
        <v>14</v>
      </c>
      <c r="M24" s="78">
        <f t="shared" si="25"/>
        <v>14</v>
      </c>
      <c r="N24" s="78">
        <f t="shared" si="25"/>
        <v>14</v>
      </c>
      <c r="O24" s="78">
        <f t="shared" si="25"/>
        <v>14</v>
      </c>
      <c r="P24" s="78">
        <f t="shared" si="25"/>
        <v>14</v>
      </c>
      <c r="Q24" s="78">
        <f t="shared" si="25"/>
        <v>14</v>
      </c>
      <c r="R24" s="78">
        <f t="shared" si="25"/>
        <v>14</v>
      </c>
      <c r="S24" s="78">
        <f t="shared" si="25"/>
        <v>14</v>
      </c>
      <c r="T24" s="78">
        <f t="shared" si="25"/>
        <v>14</v>
      </c>
      <c r="U24" s="78">
        <f t="shared" si="25"/>
        <v>14</v>
      </c>
      <c r="V24" s="78">
        <f t="shared" si="25"/>
        <v>14</v>
      </c>
      <c r="W24" s="78">
        <f t="shared" si="25"/>
        <v>14</v>
      </c>
      <c r="X24" s="78">
        <f t="shared" si="25"/>
        <v>14</v>
      </c>
      <c r="Y24" s="78">
        <f t="shared" si="25"/>
        <v>14</v>
      </c>
      <c r="Z24" s="78">
        <f t="shared" si="25"/>
        <v>14</v>
      </c>
      <c r="AA24" s="78">
        <f t="shared" si="25"/>
        <v>14</v>
      </c>
      <c r="AB24" s="78">
        <f t="shared" si="25"/>
        <v>14</v>
      </c>
      <c r="AC24" s="78">
        <f t="shared" si="25"/>
        <v>14</v>
      </c>
      <c r="AD24" s="78">
        <f t="shared" si="25"/>
        <v>14</v>
      </c>
      <c r="AE24" s="78">
        <f t="shared" si="25"/>
        <v>14</v>
      </c>
      <c r="AF24" s="78">
        <f t="shared" si="25"/>
        <v>14</v>
      </c>
      <c r="AG24" s="78">
        <f t="shared" si="25"/>
        <v>14</v>
      </c>
      <c r="AH24" s="78">
        <f t="shared" si="25"/>
        <v>14</v>
      </c>
      <c r="AI24" s="78">
        <f t="shared" ref="AI24:BJ24" si="26">SUM(AI25:AI31)</f>
        <v>14</v>
      </c>
      <c r="AJ24" s="78">
        <f t="shared" si="26"/>
        <v>14</v>
      </c>
      <c r="AK24" s="78">
        <f t="shared" si="26"/>
        <v>14</v>
      </c>
      <c r="AL24" s="78">
        <f t="shared" si="26"/>
        <v>14</v>
      </c>
      <c r="AM24" s="78">
        <f t="shared" si="26"/>
        <v>14</v>
      </c>
      <c r="AN24" s="78">
        <f t="shared" si="26"/>
        <v>14</v>
      </c>
      <c r="AO24" s="78">
        <f t="shared" si="26"/>
        <v>14</v>
      </c>
      <c r="AP24" s="78">
        <f t="shared" si="26"/>
        <v>14</v>
      </c>
      <c r="AQ24" s="78">
        <f t="shared" si="26"/>
        <v>14</v>
      </c>
      <c r="AR24" s="78">
        <f t="shared" si="26"/>
        <v>14</v>
      </c>
      <c r="AS24" s="78">
        <f t="shared" si="26"/>
        <v>14</v>
      </c>
      <c r="AT24" s="78">
        <f t="shared" si="26"/>
        <v>14</v>
      </c>
      <c r="AU24" s="78">
        <f t="shared" si="26"/>
        <v>14</v>
      </c>
      <c r="AV24" s="78">
        <f t="shared" si="26"/>
        <v>14</v>
      </c>
      <c r="AW24" s="78">
        <f t="shared" si="26"/>
        <v>14</v>
      </c>
      <c r="AX24" s="78">
        <f t="shared" si="26"/>
        <v>14</v>
      </c>
      <c r="AY24" s="78">
        <f t="shared" si="26"/>
        <v>14</v>
      </c>
      <c r="AZ24" s="78">
        <f t="shared" si="26"/>
        <v>14</v>
      </c>
      <c r="BA24" s="78">
        <f t="shared" si="26"/>
        <v>14</v>
      </c>
      <c r="BB24" s="78">
        <f t="shared" si="26"/>
        <v>14</v>
      </c>
      <c r="BC24" s="78">
        <f t="shared" si="26"/>
        <v>14</v>
      </c>
      <c r="BD24" s="78">
        <f t="shared" si="26"/>
        <v>14</v>
      </c>
      <c r="BE24" s="78">
        <f t="shared" si="26"/>
        <v>14</v>
      </c>
      <c r="BF24" s="78">
        <f t="shared" si="26"/>
        <v>14</v>
      </c>
      <c r="BG24" s="78">
        <f t="shared" si="26"/>
        <v>14</v>
      </c>
      <c r="BH24" s="78">
        <f t="shared" si="26"/>
        <v>14</v>
      </c>
      <c r="BI24" s="78">
        <f t="shared" si="26"/>
        <v>14</v>
      </c>
      <c r="BJ24" s="78">
        <f t="shared" si="26"/>
        <v>14</v>
      </c>
    </row>
    <row r="25" spans="1:62">
      <c r="A25" s="30" t="str">
        <f>A133</f>
        <v>Директор</v>
      </c>
      <c r="B25" s="50">
        <f>Допущения!$C$4</f>
        <v>45901</v>
      </c>
      <c r="C25" s="51">
        <f t="shared" ref="C25:L31" si="27">IF(C$3&lt;$B25,0,SUMIF($A$10:$A$31,$A25,$B$118:$B$139))</f>
        <v>1</v>
      </c>
      <c r="D25" s="51">
        <f t="shared" si="27"/>
        <v>1</v>
      </c>
      <c r="E25" s="51">
        <f t="shared" si="27"/>
        <v>1</v>
      </c>
      <c r="F25" s="51">
        <f t="shared" si="27"/>
        <v>1</v>
      </c>
      <c r="G25" s="51">
        <f t="shared" si="27"/>
        <v>1</v>
      </c>
      <c r="H25" s="51">
        <f t="shared" si="27"/>
        <v>1</v>
      </c>
      <c r="I25" s="51">
        <f t="shared" si="27"/>
        <v>1</v>
      </c>
      <c r="J25" s="51">
        <f t="shared" si="27"/>
        <v>1</v>
      </c>
      <c r="K25" s="51">
        <f t="shared" si="27"/>
        <v>1</v>
      </c>
      <c r="L25" s="51">
        <f t="shared" si="27"/>
        <v>1</v>
      </c>
      <c r="M25" s="51">
        <f t="shared" ref="M25:V31" si="28">IF(M$3&lt;$B25,0,SUMIF($A$10:$A$31,$A25,$B$118:$B$139))</f>
        <v>1</v>
      </c>
      <c r="N25" s="51">
        <f t="shared" si="28"/>
        <v>1</v>
      </c>
      <c r="O25" s="51">
        <f t="shared" si="28"/>
        <v>1</v>
      </c>
      <c r="P25" s="51">
        <f t="shared" si="28"/>
        <v>1</v>
      </c>
      <c r="Q25" s="51">
        <f t="shared" si="28"/>
        <v>1</v>
      </c>
      <c r="R25" s="51">
        <f t="shared" si="28"/>
        <v>1</v>
      </c>
      <c r="S25" s="51">
        <f t="shared" si="28"/>
        <v>1</v>
      </c>
      <c r="T25" s="51">
        <f t="shared" si="28"/>
        <v>1</v>
      </c>
      <c r="U25" s="51">
        <f t="shared" si="28"/>
        <v>1</v>
      </c>
      <c r="V25" s="51">
        <f t="shared" si="28"/>
        <v>1</v>
      </c>
      <c r="W25" s="51">
        <f t="shared" ref="W25:AF31" si="29">IF(W$3&lt;$B25,0,SUMIF($A$10:$A$31,$A25,$B$118:$B$139))</f>
        <v>1</v>
      </c>
      <c r="X25" s="51">
        <f t="shared" si="29"/>
        <v>1</v>
      </c>
      <c r="Y25" s="51">
        <f t="shared" si="29"/>
        <v>1</v>
      </c>
      <c r="Z25" s="51">
        <f t="shared" si="29"/>
        <v>1</v>
      </c>
      <c r="AA25" s="51">
        <f t="shared" si="29"/>
        <v>1</v>
      </c>
      <c r="AB25" s="51">
        <f t="shared" si="29"/>
        <v>1</v>
      </c>
      <c r="AC25" s="51">
        <f t="shared" si="29"/>
        <v>1</v>
      </c>
      <c r="AD25" s="51">
        <f t="shared" si="29"/>
        <v>1</v>
      </c>
      <c r="AE25" s="51">
        <f t="shared" si="29"/>
        <v>1</v>
      </c>
      <c r="AF25" s="51">
        <f t="shared" si="29"/>
        <v>1</v>
      </c>
      <c r="AG25" s="51">
        <f t="shared" ref="AG25:AP31" si="30">IF(AG$3&lt;$B25,0,SUMIF($A$10:$A$31,$A25,$B$118:$B$139))</f>
        <v>1</v>
      </c>
      <c r="AH25" s="51">
        <f t="shared" si="30"/>
        <v>1</v>
      </c>
      <c r="AI25" s="51">
        <f t="shared" si="30"/>
        <v>1</v>
      </c>
      <c r="AJ25" s="51">
        <f t="shared" si="30"/>
        <v>1</v>
      </c>
      <c r="AK25" s="51">
        <f t="shared" si="30"/>
        <v>1</v>
      </c>
      <c r="AL25" s="51">
        <f t="shared" si="30"/>
        <v>1</v>
      </c>
      <c r="AM25" s="51">
        <f t="shared" si="30"/>
        <v>1</v>
      </c>
      <c r="AN25" s="51">
        <f t="shared" si="30"/>
        <v>1</v>
      </c>
      <c r="AO25" s="51">
        <f t="shared" si="30"/>
        <v>1</v>
      </c>
      <c r="AP25" s="51">
        <f t="shared" si="30"/>
        <v>1</v>
      </c>
      <c r="AQ25" s="51">
        <f t="shared" ref="AQ25:AZ31" si="31">IF(AQ$3&lt;$B25,0,SUMIF($A$10:$A$31,$A25,$B$118:$B$139))</f>
        <v>1</v>
      </c>
      <c r="AR25" s="51">
        <f t="shared" si="31"/>
        <v>1</v>
      </c>
      <c r="AS25" s="51">
        <f t="shared" si="31"/>
        <v>1</v>
      </c>
      <c r="AT25" s="51">
        <f t="shared" si="31"/>
        <v>1</v>
      </c>
      <c r="AU25" s="51">
        <f t="shared" si="31"/>
        <v>1</v>
      </c>
      <c r="AV25" s="51">
        <f t="shared" si="31"/>
        <v>1</v>
      </c>
      <c r="AW25" s="51">
        <f t="shared" si="31"/>
        <v>1</v>
      </c>
      <c r="AX25" s="51">
        <f t="shared" si="31"/>
        <v>1</v>
      </c>
      <c r="AY25" s="51">
        <f t="shared" si="31"/>
        <v>1</v>
      </c>
      <c r="AZ25" s="51">
        <f t="shared" si="31"/>
        <v>1</v>
      </c>
      <c r="BA25" s="51">
        <f t="shared" ref="BA25:BJ31" si="32">IF(BA$3&lt;$B25,0,SUMIF($A$10:$A$31,$A25,$B$118:$B$139))</f>
        <v>1</v>
      </c>
      <c r="BB25" s="51">
        <f t="shared" si="32"/>
        <v>1</v>
      </c>
      <c r="BC25" s="51">
        <f t="shared" si="32"/>
        <v>1</v>
      </c>
      <c r="BD25" s="51">
        <f t="shared" si="32"/>
        <v>1</v>
      </c>
      <c r="BE25" s="51">
        <f t="shared" si="32"/>
        <v>1</v>
      </c>
      <c r="BF25" s="51">
        <f t="shared" si="32"/>
        <v>1</v>
      </c>
      <c r="BG25" s="51">
        <f t="shared" si="32"/>
        <v>1</v>
      </c>
      <c r="BH25" s="51">
        <f t="shared" si="32"/>
        <v>1</v>
      </c>
      <c r="BI25" s="51">
        <f t="shared" si="32"/>
        <v>1</v>
      </c>
      <c r="BJ25" s="51">
        <f t="shared" si="32"/>
        <v>1</v>
      </c>
    </row>
    <row r="26" spans="1:62">
      <c r="A26" s="30" t="str">
        <f t="shared" ref="A26:A31" si="33">A134</f>
        <v>Директор производства</v>
      </c>
      <c r="B26" s="50">
        <f>Допущения!$C$4</f>
        <v>45901</v>
      </c>
      <c r="C26" s="51">
        <f t="shared" si="27"/>
        <v>1</v>
      </c>
      <c r="D26" s="51">
        <f t="shared" si="27"/>
        <v>1</v>
      </c>
      <c r="E26" s="51">
        <f t="shared" si="27"/>
        <v>1</v>
      </c>
      <c r="F26" s="51">
        <f t="shared" si="27"/>
        <v>1</v>
      </c>
      <c r="G26" s="51">
        <f t="shared" si="27"/>
        <v>1</v>
      </c>
      <c r="H26" s="51">
        <f t="shared" si="27"/>
        <v>1</v>
      </c>
      <c r="I26" s="51">
        <f t="shared" si="27"/>
        <v>1</v>
      </c>
      <c r="J26" s="51">
        <f t="shared" si="27"/>
        <v>1</v>
      </c>
      <c r="K26" s="51">
        <f t="shared" si="27"/>
        <v>1</v>
      </c>
      <c r="L26" s="51">
        <f t="shared" si="27"/>
        <v>1</v>
      </c>
      <c r="M26" s="51">
        <f t="shared" si="28"/>
        <v>1</v>
      </c>
      <c r="N26" s="51">
        <f t="shared" si="28"/>
        <v>1</v>
      </c>
      <c r="O26" s="51">
        <f t="shared" si="28"/>
        <v>1</v>
      </c>
      <c r="P26" s="51">
        <f t="shared" si="28"/>
        <v>1</v>
      </c>
      <c r="Q26" s="51">
        <f t="shared" si="28"/>
        <v>1</v>
      </c>
      <c r="R26" s="51">
        <f t="shared" si="28"/>
        <v>1</v>
      </c>
      <c r="S26" s="51">
        <f t="shared" si="28"/>
        <v>1</v>
      </c>
      <c r="T26" s="51">
        <f t="shared" si="28"/>
        <v>1</v>
      </c>
      <c r="U26" s="51">
        <f t="shared" si="28"/>
        <v>1</v>
      </c>
      <c r="V26" s="51">
        <f t="shared" si="28"/>
        <v>1</v>
      </c>
      <c r="W26" s="51">
        <f t="shared" si="29"/>
        <v>1</v>
      </c>
      <c r="X26" s="51">
        <f t="shared" si="29"/>
        <v>1</v>
      </c>
      <c r="Y26" s="51">
        <f t="shared" si="29"/>
        <v>1</v>
      </c>
      <c r="Z26" s="51">
        <f t="shared" si="29"/>
        <v>1</v>
      </c>
      <c r="AA26" s="51">
        <f t="shared" si="29"/>
        <v>1</v>
      </c>
      <c r="AB26" s="51">
        <f t="shared" si="29"/>
        <v>1</v>
      </c>
      <c r="AC26" s="51">
        <f t="shared" si="29"/>
        <v>1</v>
      </c>
      <c r="AD26" s="51">
        <f t="shared" si="29"/>
        <v>1</v>
      </c>
      <c r="AE26" s="51">
        <f t="shared" si="29"/>
        <v>1</v>
      </c>
      <c r="AF26" s="51">
        <f t="shared" si="29"/>
        <v>1</v>
      </c>
      <c r="AG26" s="51">
        <f t="shared" si="30"/>
        <v>1</v>
      </c>
      <c r="AH26" s="51">
        <f t="shared" si="30"/>
        <v>1</v>
      </c>
      <c r="AI26" s="51">
        <f t="shared" si="30"/>
        <v>1</v>
      </c>
      <c r="AJ26" s="51">
        <f t="shared" si="30"/>
        <v>1</v>
      </c>
      <c r="AK26" s="51">
        <f t="shared" si="30"/>
        <v>1</v>
      </c>
      <c r="AL26" s="51">
        <f t="shared" si="30"/>
        <v>1</v>
      </c>
      <c r="AM26" s="51">
        <f t="shared" si="30"/>
        <v>1</v>
      </c>
      <c r="AN26" s="51">
        <f t="shared" si="30"/>
        <v>1</v>
      </c>
      <c r="AO26" s="51">
        <f t="shared" si="30"/>
        <v>1</v>
      </c>
      <c r="AP26" s="51">
        <f t="shared" si="30"/>
        <v>1</v>
      </c>
      <c r="AQ26" s="51">
        <f t="shared" si="31"/>
        <v>1</v>
      </c>
      <c r="AR26" s="51">
        <f t="shared" si="31"/>
        <v>1</v>
      </c>
      <c r="AS26" s="51">
        <f t="shared" si="31"/>
        <v>1</v>
      </c>
      <c r="AT26" s="51">
        <f t="shared" si="31"/>
        <v>1</v>
      </c>
      <c r="AU26" s="51">
        <f t="shared" si="31"/>
        <v>1</v>
      </c>
      <c r="AV26" s="51">
        <f t="shared" si="31"/>
        <v>1</v>
      </c>
      <c r="AW26" s="51">
        <f t="shared" si="31"/>
        <v>1</v>
      </c>
      <c r="AX26" s="51">
        <f t="shared" si="31"/>
        <v>1</v>
      </c>
      <c r="AY26" s="51">
        <f t="shared" si="31"/>
        <v>1</v>
      </c>
      <c r="AZ26" s="51">
        <f t="shared" si="31"/>
        <v>1</v>
      </c>
      <c r="BA26" s="51">
        <f t="shared" si="32"/>
        <v>1</v>
      </c>
      <c r="BB26" s="51">
        <f t="shared" si="32"/>
        <v>1</v>
      </c>
      <c r="BC26" s="51">
        <f t="shared" si="32"/>
        <v>1</v>
      </c>
      <c r="BD26" s="51">
        <f t="shared" si="32"/>
        <v>1</v>
      </c>
      <c r="BE26" s="51">
        <f t="shared" si="32"/>
        <v>1</v>
      </c>
      <c r="BF26" s="51">
        <f t="shared" si="32"/>
        <v>1</v>
      </c>
      <c r="BG26" s="51">
        <f t="shared" si="32"/>
        <v>1</v>
      </c>
      <c r="BH26" s="51">
        <f t="shared" si="32"/>
        <v>1</v>
      </c>
      <c r="BI26" s="51">
        <f t="shared" si="32"/>
        <v>1</v>
      </c>
      <c r="BJ26" s="51">
        <f t="shared" si="32"/>
        <v>1</v>
      </c>
    </row>
    <row r="27" spans="1:62">
      <c r="A27" s="30" t="str">
        <f t="shared" si="33"/>
        <v>Главный бухгалтер</v>
      </c>
      <c r="B27" s="50">
        <f>Допущения!$C$4</f>
        <v>45901</v>
      </c>
      <c r="C27" s="51">
        <f t="shared" si="27"/>
        <v>1</v>
      </c>
      <c r="D27" s="51">
        <f t="shared" si="27"/>
        <v>1</v>
      </c>
      <c r="E27" s="51">
        <f t="shared" si="27"/>
        <v>1</v>
      </c>
      <c r="F27" s="51">
        <f t="shared" si="27"/>
        <v>1</v>
      </c>
      <c r="G27" s="51">
        <f t="shared" si="27"/>
        <v>1</v>
      </c>
      <c r="H27" s="51">
        <f t="shared" si="27"/>
        <v>1</v>
      </c>
      <c r="I27" s="51">
        <f t="shared" si="27"/>
        <v>1</v>
      </c>
      <c r="J27" s="51">
        <f t="shared" si="27"/>
        <v>1</v>
      </c>
      <c r="K27" s="51">
        <f t="shared" si="27"/>
        <v>1</v>
      </c>
      <c r="L27" s="51">
        <f t="shared" si="27"/>
        <v>1</v>
      </c>
      <c r="M27" s="51">
        <f t="shared" si="28"/>
        <v>1</v>
      </c>
      <c r="N27" s="51">
        <f t="shared" si="28"/>
        <v>1</v>
      </c>
      <c r="O27" s="51">
        <f t="shared" si="28"/>
        <v>1</v>
      </c>
      <c r="P27" s="51">
        <f t="shared" si="28"/>
        <v>1</v>
      </c>
      <c r="Q27" s="51">
        <f t="shared" si="28"/>
        <v>1</v>
      </c>
      <c r="R27" s="51">
        <f t="shared" si="28"/>
        <v>1</v>
      </c>
      <c r="S27" s="51">
        <f t="shared" si="28"/>
        <v>1</v>
      </c>
      <c r="T27" s="51">
        <f t="shared" si="28"/>
        <v>1</v>
      </c>
      <c r="U27" s="51">
        <f t="shared" si="28"/>
        <v>1</v>
      </c>
      <c r="V27" s="51">
        <f t="shared" si="28"/>
        <v>1</v>
      </c>
      <c r="W27" s="51">
        <f t="shared" si="29"/>
        <v>1</v>
      </c>
      <c r="X27" s="51">
        <f t="shared" si="29"/>
        <v>1</v>
      </c>
      <c r="Y27" s="51">
        <f t="shared" si="29"/>
        <v>1</v>
      </c>
      <c r="Z27" s="51">
        <f t="shared" si="29"/>
        <v>1</v>
      </c>
      <c r="AA27" s="51">
        <f t="shared" si="29"/>
        <v>1</v>
      </c>
      <c r="AB27" s="51">
        <f t="shared" si="29"/>
        <v>1</v>
      </c>
      <c r="AC27" s="51">
        <f t="shared" si="29"/>
        <v>1</v>
      </c>
      <c r="AD27" s="51">
        <f t="shared" si="29"/>
        <v>1</v>
      </c>
      <c r="AE27" s="51">
        <f t="shared" si="29"/>
        <v>1</v>
      </c>
      <c r="AF27" s="51">
        <f t="shared" si="29"/>
        <v>1</v>
      </c>
      <c r="AG27" s="51">
        <f t="shared" si="30"/>
        <v>1</v>
      </c>
      <c r="AH27" s="51">
        <f t="shared" si="30"/>
        <v>1</v>
      </c>
      <c r="AI27" s="51">
        <f t="shared" si="30"/>
        <v>1</v>
      </c>
      <c r="AJ27" s="51">
        <f t="shared" si="30"/>
        <v>1</v>
      </c>
      <c r="AK27" s="51">
        <f t="shared" si="30"/>
        <v>1</v>
      </c>
      <c r="AL27" s="51">
        <f t="shared" si="30"/>
        <v>1</v>
      </c>
      <c r="AM27" s="51">
        <f t="shared" si="30"/>
        <v>1</v>
      </c>
      <c r="AN27" s="51">
        <f t="shared" si="30"/>
        <v>1</v>
      </c>
      <c r="AO27" s="51">
        <f t="shared" si="30"/>
        <v>1</v>
      </c>
      <c r="AP27" s="51">
        <f t="shared" si="30"/>
        <v>1</v>
      </c>
      <c r="AQ27" s="51">
        <f t="shared" si="31"/>
        <v>1</v>
      </c>
      <c r="AR27" s="51">
        <f t="shared" si="31"/>
        <v>1</v>
      </c>
      <c r="AS27" s="51">
        <f t="shared" si="31"/>
        <v>1</v>
      </c>
      <c r="AT27" s="51">
        <f t="shared" si="31"/>
        <v>1</v>
      </c>
      <c r="AU27" s="51">
        <f t="shared" si="31"/>
        <v>1</v>
      </c>
      <c r="AV27" s="51">
        <f t="shared" si="31"/>
        <v>1</v>
      </c>
      <c r="AW27" s="51">
        <f t="shared" si="31"/>
        <v>1</v>
      </c>
      <c r="AX27" s="51">
        <f t="shared" si="31"/>
        <v>1</v>
      </c>
      <c r="AY27" s="51">
        <f t="shared" si="31"/>
        <v>1</v>
      </c>
      <c r="AZ27" s="51">
        <f t="shared" si="31"/>
        <v>1</v>
      </c>
      <c r="BA27" s="51">
        <f t="shared" si="32"/>
        <v>1</v>
      </c>
      <c r="BB27" s="51">
        <f t="shared" si="32"/>
        <v>1</v>
      </c>
      <c r="BC27" s="51">
        <f t="shared" si="32"/>
        <v>1</v>
      </c>
      <c r="BD27" s="51">
        <f t="shared" si="32"/>
        <v>1</v>
      </c>
      <c r="BE27" s="51">
        <f t="shared" si="32"/>
        <v>1</v>
      </c>
      <c r="BF27" s="51">
        <f t="shared" si="32"/>
        <v>1</v>
      </c>
      <c r="BG27" s="51">
        <f t="shared" si="32"/>
        <v>1</v>
      </c>
      <c r="BH27" s="51">
        <f t="shared" si="32"/>
        <v>1</v>
      </c>
      <c r="BI27" s="51">
        <f t="shared" si="32"/>
        <v>1</v>
      </c>
      <c r="BJ27" s="51">
        <f t="shared" si="32"/>
        <v>1</v>
      </c>
    </row>
    <row r="28" spans="1:62">
      <c r="A28" s="30" t="str">
        <f t="shared" si="33"/>
        <v>Главный технолог</v>
      </c>
      <c r="B28" s="50">
        <f>Допущения!$C$4</f>
        <v>45901</v>
      </c>
      <c r="C28" s="51">
        <f t="shared" si="27"/>
        <v>2</v>
      </c>
      <c r="D28" s="51">
        <f t="shared" si="27"/>
        <v>2</v>
      </c>
      <c r="E28" s="51">
        <f t="shared" si="27"/>
        <v>2</v>
      </c>
      <c r="F28" s="51">
        <f t="shared" si="27"/>
        <v>2</v>
      </c>
      <c r="G28" s="51">
        <f t="shared" si="27"/>
        <v>2</v>
      </c>
      <c r="H28" s="51">
        <f t="shared" si="27"/>
        <v>2</v>
      </c>
      <c r="I28" s="51">
        <f t="shared" si="27"/>
        <v>2</v>
      </c>
      <c r="J28" s="51">
        <f t="shared" si="27"/>
        <v>2</v>
      </c>
      <c r="K28" s="51">
        <f t="shared" si="27"/>
        <v>2</v>
      </c>
      <c r="L28" s="51">
        <f t="shared" si="27"/>
        <v>2</v>
      </c>
      <c r="M28" s="51">
        <f t="shared" si="28"/>
        <v>2</v>
      </c>
      <c r="N28" s="51">
        <f t="shared" si="28"/>
        <v>2</v>
      </c>
      <c r="O28" s="51">
        <f t="shared" si="28"/>
        <v>2</v>
      </c>
      <c r="P28" s="51">
        <f t="shared" si="28"/>
        <v>2</v>
      </c>
      <c r="Q28" s="51">
        <f t="shared" si="28"/>
        <v>2</v>
      </c>
      <c r="R28" s="51">
        <f t="shared" si="28"/>
        <v>2</v>
      </c>
      <c r="S28" s="51">
        <f t="shared" si="28"/>
        <v>2</v>
      </c>
      <c r="T28" s="51">
        <f t="shared" si="28"/>
        <v>2</v>
      </c>
      <c r="U28" s="51">
        <f t="shared" si="28"/>
        <v>2</v>
      </c>
      <c r="V28" s="51">
        <f t="shared" si="28"/>
        <v>2</v>
      </c>
      <c r="W28" s="51">
        <f t="shared" si="29"/>
        <v>2</v>
      </c>
      <c r="X28" s="51">
        <f t="shared" si="29"/>
        <v>2</v>
      </c>
      <c r="Y28" s="51">
        <f t="shared" si="29"/>
        <v>2</v>
      </c>
      <c r="Z28" s="51">
        <f t="shared" si="29"/>
        <v>2</v>
      </c>
      <c r="AA28" s="51">
        <f t="shared" si="29"/>
        <v>2</v>
      </c>
      <c r="AB28" s="51">
        <f t="shared" si="29"/>
        <v>2</v>
      </c>
      <c r="AC28" s="51">
        <f t="shared" si="29"/>
        <v>2</v>
      </c>
      <c r="AD28" s="51">
        <f t="shared" si="29"/>
        <v>2</v>
      </c>
      <c r="AE28" s="51">
        <f t="shared" si="29"/>
        <v>2</v>
      </c>
      <c r="AF28" s="51">
        <f t="shared" si="29"/>
        <v>2</v>
      </c>
      <c r="AG28" s="51">
        <f t="shared" si="30"/>
        <v>2</v>
      </c>
      <c r="AH28" s="51">
        <f t="shared" si="30"/>
        <v>2</v>
      </c>
      <c r="AI28" s="51">
        <f t="shared" si="30"/>
        <v>2</v>
      </c>
      <c r="AJ28" s="51">
        <f t="shared" si="30"/>
        <v>2</v>
      </c>
      <c r="AK28" s="51">
        <f t="shared" si="30"/>
        <v>2</v>
      </c>
      <c r="AL28" s="51">
        <f t="shared" si="30"/>
        <v>2</v>
      </c>
      <c r="AM28" s="51">
        <f t="shared" si="30"/>
        <v>2</v>
      </c>
      <c r="AN28" s="51">
        <f t="shared" si="30"/>
        <v>2</v>
      </c>
      <c r="AO28" s="51">
        <f t="shared" si="30"/>
        <v>2</v>
      </c>
      <c r="AP28" s="51">
        <f t="shared" si="30"/>
        <v>2</v>
      </c>
      <c r="AQ28" s="51">
        <f t="shared" si="31"/>
        <v>2</v>
      </c>
      <c r="AR28" s="51">
        <f t="shared" si="31"/>
        <v>2</v>
      </c>
      <c r="AS28" s="51">
        <f t="shared" si="31"/>
        <v>2</v>
      </c>
      <c r="AT28" s="51">
        <f t="shared" si="31"/>
        <v>2</v>
      </c>
      <c r="AU28" s="51">
        <f t="shared" si="31"/>
        <v>2</v>
      </c>
      <c r="AV28" s="51">
        <f t="shared" si="31"/>
        <v>2</v>
      </c>
      <c r="AW28" s="51">
        <f t="shared" si="31"/>
        <v>2</v>
      </c>
      <c r="AX28" s="51">
        <f t="shared" si="31"/>
        <v>2</v>
      </c>
      <c r="AY28" s="51">
        <f t="shared" si="31"/>
        <v>2</v>
      </c>
      <c r="AZ28" s="51">
        <f t="shared" si="31"/>
        <v>2</v>
      </c>
      <c r="BA28" s="51">
        <f t="shared" si="32"/>
        <v>2</v>
      </c>
      <c r="BB28" s="51">
        <f t="shared" si="32"/>
        <v>2</v>
      </c>
      <c r="BC28" s="51">
        <f t="shared" si="32"/>
        <v>2</v>
      </c>
      <c r="BD28" s="51">
        <f t="shared" si="32"/>
        <v>2</v>
      </c>
      <c r="BE28" s="51">
        <f t="shared" si="32"/>
        <v>2</v>
      </c>
      <c r="BF28" s="51">
        <f t="shared" si="32"/>
        <v>2</v>
      </c>
      <c r="BG28" s="51">
        <f t="shared" si="32"/>
        <v>2</v>
      </c>
      <c r="BH28" s="51">
        <f t="shared" si="32"/>
        <v>2</v>
      </c>
      <c r="BI28" s="51">
        <f t="shared" si="32"/>
        <v>2</v>
      </c>
      <c r="BJ28" s="51">
        <f t="shared" si="32"/>
        <v>2</v>
      </c>
    </row>
    <row r="29" spans="1:62">
      <c r="A29" s="30" t="str">
        <f t="shared" si="33"/>
        <v>Начальник ОТК/Ветеринарный врач</v>
      </c>
      <c r="B29" s="50">
        <f>Допущения!$C$4</f>
        <v>45901</v>
      </c>
      <c r="C29" s="51">
        <f t="shared" si="27"/>
        <v>3</v>
      </c>
      <c r="D29" s="51">
        <f t="shared" si="27"/>
        <v>3</v>
      </c>
      <c r="E29" s="51">
        <f t="shared" si="27"/>
        <v>3</v>
      </c>
      <c r="F29" s="51">
        <f t="shared" si="27"/>
        <v>3</v>
      </c>
      <c r="G29" s="51">
        <f t="shared" si="27"/>
        <v>3</v>
      </c>
      <c r="H29" s="51">
        <f t="shared" si="27"/>
        <v>3</v>
      </c>
      <c r="I29" s="51">
        <f t="shared" si="27"/>
        <v>3</v>
      </c>
      <c r="J29" s="51">
        <f t="shared" si="27"/>
        <v>3</v>
      </c>
      <c r="K29" s="51">
        <f t="shared" si="27"/>
        <v>3</v>
      </c>
      <c r="L29" s="51">
        <f t="shared" si="27"/>
        <v>3</v>
      </c>
      <c r="M29" s="51">
        <f t="shared" si="28"/>
        <v>3</v>
      </c>
      <c r="N29" s="51">
        <f t="shared" si="28"/>
        <v>3</v>
      </c>
      <c r="O29" s="51">
        <f t="shared" si="28"/>
        <v>3</v>
      </c>
      <c r="P29" s="51">
        <f t="shared" si="28"/>
        <v>3</v>
      </c>
      <c r="Q29" s="51">
        <f t="shared" si="28"/>
        <v>3</v>
      </c>
      <c r="R29" s="51">
        <f t="shared" si="28"/>
        <v>3</v>
      </c>
      <c r="S29" s="51">
        <f t="shared" si="28"/>
        <v>3</v>
      </c>
      <c r="T29" s="51">
        <f t="shared" si="28"/>
        <v>3</v>
      </c>
      <c r="U29" s="51">
        <f t="shared" si="28"/>
        <v>3</v>
      </c>
      <c r="V29" s="51">
        <f t="shared" si="28"/>
        <v>3</v>
      </c>
      <c r="W29" s="51">
        <f t="shared" si="29"/>
        <v>3</v>
      </c>
      <c r="X29" s="51">
        <f t="shared" si="29"/>
        <v>3</v>
      </c>
      <c r="Y29" s="51">
        <f t="shared" si="29"/>
        <v>3</v>
      </c>
      <c r="Z29" s="51">
        <f t="shared" si="29"/>
        <v>3</v>
      </c>
      <c r="AA29" s="51">
        <f t="shared" si="29"/>
        <v>3</v>
      </c>
      <c r="AB29" s="51">
        <f t="shared" si="29"/>
        <v>3</v>
      </c>
      <c r="AC29" s="51">
        <f t="shared" si="29"/>
        <v>3</v>
      </c>
      <c r="AD29" s="51">
        <f t="shared" si="29"/>
        <v>3</v>
      </c>
      <c r="AE29" s="51">
        <f t="shared" si="29"/>
        <v>3</v>
      </c>
      <c r="AF29" s="51">
        <f t="shared" si="29"/>
        <v>3</v>
      </c>
      <c r="AG29" s="51">
        <f t="shared" si="30"/>
        <v>3</v>
      </c>
      <c r="AH29" s="51">
        <f t="shared" si="30"/>
        <v>3</v>
      </c>
      <c r="AI29" s="51">
        <f t="shared" si="30"/>
        <v>3</v>
      </c>
      <c r="AJ29" s="51">
        <f t="shared" si="30"/>
        <v>3</v>
      </c>
      <c r="AK29" s="51">
        <f t="shared" si="30"/>
        <v>3</v>
      </c>
      <c r="AL29" s="51">
        <f t="shared" si="30"/>
        <v>3</v>
      </c>
      <c r="AM29" s="51">
        <f t="shared" si="30"/>
        <v>3</v>
      </c>
      <c r="AN29" s="51">
        <f t="shared" si="30"/>
        <v>3</v>
      </c>
      <c r="AO29" s="51">
        <f t="shared" si="30"/>
        <v>3</v>
      </c>
      <c r="AP29" s="51">
        <f t="shared" si="30"/>
        <v>3</v>
      </c>
      <c r="AQ29" s="51">
        <f t="shared" si="31"/>
        <v>3</v>
      </c>
      <c r="AR29" s="51">
        <f t="shared" si="31"/>
        <v>3</v>
      </c>
      <c r="AS29" s="51">
        <f t="shared" si="31"/>
        <v>3</v>
      </c>
      <c r="AT29" s="51">
        <f t="shared" si="31"/>
        <v>3</v>
      </c>
      <c r="AU29" s="51">
        <f t="shared" si="31"/>
        <v>3</v>
      </c>
      <c r="AV29" s="51">
        <f t="shared" si="31"/>
        <v>3</v>
      </c>
      <c r="AW29" s="51">
        <f t="shared" si="31"/>
        <v>3</v>
      </c>
      <c r="AX29" s="51">
        <f t="shared" si="31"/>
        <v>3</v>
      </c>
      <c r="AY29" s="51">
        <f t="shared" si="31"/>
        <v>3</v>
      </c>
      <c r="AZ29" s="51">
        <f t="shared" si="31"/>
        <v>3</v>
      </c>
      <c r="BA29" s="51">
        <f t="shared" si="32"/>
        <v>3</v>
      </c>
      <c r="BB29" s="51">
        <f t="shared" si="32"/>
        <v>3</v>
      </c>
      <c r="BC29" s="51">
        <f t="shared" si="32"/>
        <v>3</v>
      </c>
      <c r="BD29" s="51">
        <f t="shared" si="32"/>
        <v>3</v>
      </c>
      <c r="BE29" s="51">
        <f t="shared" si="32"/>
        <v>3</v>
      </c>
      <c r="BF29" s="51">
        <f t="shared" si="32"/>
        <v>3</v>
      </c>
      <c r="BG29" s="51">
        <f t="shared" si="32"/>
        <v>3</v>
      </c>
      <c r="BH29" s="51">
        <f t="shared" si="32"/>
        <v>3</v>
      </c>
      <c r="BI29" s="51">
        <f t="shared" si="32"/>
        <v>3</v>
      </c>
      <c r="BJ29" s="51">
        <f t="shared" si="32"/>
        <v>3</v>
      </c>
    </row>
    <row r="30" spans="1:62">
      <c r="A30" s="30" t="str">
        <f t="shared" si="33"/>
        <v>Начальник смены</v>
      </c>
      <c r="B30" s="50">
        <f>Допущения!$C$4</f>
        <v>45901</v>
      </c>
      <c r="C30" s="51">
        <f t="shared" si="27"/>
        <v>4</v>
      </c>
      <c r="D30" s="51">
        <f t="shared" si="27"/>
        <v>4</v>
      </c>
      <c r="E30" s="51">
        <f t="shared" si="27"/>
        <v>4</v>
      </c>
      <c r="F30" s="51">
        <f t="shared" si="27"/>
        <v>4</v>
      </c>
      <c r="G30" s="51">
        <f t="shared" si="27"/>
        <v>4</v>
      </c>
      <c r="H30" s="51">
        <f t="shared" si="27"/>
        <v>4</v>
      </c>
      <c r="I30" s="51">
        <f t="shared" si="27"/>
        <v>4</v>
      </c>
      <c r="J30" s="51">
        <f t="shared" si="27"/>
        <v>4</v>
      </c>
      <c r="K30" s="51">
        <f t="shared" si="27"/>
        <v>4</v>
      </c>
      <c r="L30" s="51">
        <f t="shared" si="27"/>
        <v>4</v>
      </c>
      <c r="M30" s="51">
        <f t="shared" si="28"/>
        <v>4</v>
      </c>
      <c r="N30" s="51">
        <f t="shared" si="28"/>
        <v>4</v>
      </c>
      <c r="O30" s="51">
        <f t="shared" si="28"/>
        <v>4</v>
      </c>
      <c r="P30" s="51">
        <f t="shared" si="28"/>
        <v>4</v>
      </c>
      <c r="Q30" s="51">
        <f t="shared" si="28"/>
        <v>4</v>
      </c>
      <c r="R30" s="51">
        <f t="shared" si="28"/>
        <v>4</v>
      </c>
      <c r="S30" s="51">
        <f t="shared" si="28"/>
        <v>4</v>
      </c>
      <c r="T30" s="51">
        <f t="shared" si="28"/>
        <v>4</v>
      </c>
      <c r="U30" s="51">
        <f t="shared" si="28"/>
        <v>4</v>
      </c>
      <c r="V30" s="51">
        <f t="shared" si="28"/>
        <v>4</v>
      </c>
      <c r="W30" s="51">
        <f t="shared" si="29"/>
        <v>4</v>
      </c>
      <c r="X30" s="51">
        <f t="shared" si="29"/>
        <v>4</v>
      </c>
      <c r="Y30" s="51">
        <f t="shared" si="29"/>
        <v>4</v>
      </c>
      <c r="Z30" s="51">
        <f t="shared" si="29"/>
        <v>4</v>
      </c>
      <c r="AA30" s="51">
        <f t="shared" si="29"/>
        <v>4</v>
      </c>
      <c r="AB30" s="51">
        <f t="shared" si="29"/>
        <v>4</v>
      </c>
      <c r="AC30" s="51">
        <f t="shared" si="29"/>
        <v>4</v>
      </c>
      <c r="AD30" s="51">
        <f t="shared" si="29"/>
        <v>4</v>
      </c>
      <c r="AE30" s="51">
        <f t="shared" si="29"/>
        <v>4</v>
      </c>
      <c r="AF30" s="51">
        <f t="shared" si="29"/>
        <v>4</v>
      </c>
      <c r="AG30" s="51">
        <f t="shared" si="30"/>
        <v>4</v>
      </c>
      <c r="AH30" s="51">
        <f t="shared" si="30"/>
        <v>4</v>
      </c>
      <c r="AI30" s="51">
        <f t="shared" si="30"/>
        <v>4</v>
      </c>
      <c r="AJ30" s="51">
        <f t="shared" si="30"/>
        <v>4</v>
      </c>
      <c r="AK30" s="51">
        <f t="shared" si="30"/>
        <v>4</v>
      </c>
      <c r="AL30" s="51">
        <f t="shared" si="30"/>
        <v>4</v>
      </c>
      <c r="AM30" s="51">
        <f t="shared" si="30"/>
        <v>4</v>
      </c>
      <c r="AN30" s="51">
        <f t="shared" si="30"/>
        <v>4</v>
      </c>
      <c r="AO30" s="51">
        <f t="shared" si="30"/>
        <v>4</v>
      </c>
      <c r="AP30" s="51">
        <f t="shared" si="30"/>
        <v>4</v>
      </c>
      <c r="AQ30" s="51">
        <f t="shared" si="31"/>
        <v>4</v>
      </c>
      <c r="AR30" s="51">
        <f t="shared" si="31"/>
        <v>4</v>
      </c>
      <c r="AS30" s="51">
        <f t="shared" si="31"/>
        <v>4</v>
      </c>
      <c r="AT30" s="51">
        <f t="shared" si="31"/>
        <v>4</v>
      </c>
      <c r="AU30" s="51">
        <f t="shared" si="31"/>
        <v>4</v>
      </c>
      <c r="AV30" s="51">
        <f t="shared" si="31"/>
        <v>4</v>
      </c>
      <c r="AW30" s="51">
        <f t="shared" si="31"/>
        <v>4</v>
      </c>
      <c r="AX30" s="51">
        <f t="shared" si="31"/>
        <v>4</v>
      </c>
      <c r="AY30" s="51">
        <f t="shared" si="31"/>
        <v>4</v>
      </c>
      <c r="AZ30" s="51">
        <f t="shared" si="31"/>
        <v>4</v>
      </c>
      <c r="BA30" s="51">
        <f t="shared" si="32"/>
        <v>4</v>
      </c>
      <c r="BB30" s="51">
        <f t="shared" si="32"/>
        <v>4</v>
      </c>
      <c r="BC30" s="51">
        <f t="shared" si="32"/>
        <v>4</v>
      </c>
      <c r="BD30" s="51">
        <f t="shared" si="32"/>
        <v>4</v>
      </c>
      <c r="BE30" s="51">
        <f t="shared" si="32"/>
        <v>4</v>
      </c>
      <c r="BF30" s="51">
        <f t="shared" si="32"/>
        <v>4</v>
      </c>
      <c r="BG30" s="51">
        <f t="shared" si="32"/>
        <v>4</v>
      </c>
      <c r="BH30" s="51">
        <f t="shared" si="32"/>
        <v>4</v>
      </c>
      <c r="BI30" s="51">
        <f t="shared" si="32"/>
        <v>4</v>
      </c>
      <c r="BJ30" s="51">
        <f t="shared" si="32"/>
        <v>4</v>
      </c>
    </row>
    <row r="31" spans="1:62">
      <c r="A31" s="30" t="str">
        <f t="shared" si="33"/>
        <v>Бухгалтер</v>
      </c>
      <c r="B31" s="50">
        <f>Допущения!$C$4</f>
        <v>45901</v>
      </c>
      <c r="C31" s="51">
        <f t="shared" si="27"/>
        <v>2</v>
      </c>
      <c r="D31" s="51">
        <f t="shared" si="27"/>
        <v>2</v>
      </c>
      <c r="E31" s="51">
        <f t="shared" si="27"/>
        <v>2</v>
      </c>
      <c r="F31" s="51">
        <f t="shared" si="27"/>
        <v>2</v>
      </c>
      <c r="G31" s="51">
        <f t="shared" si="27"/>
        <v>2</v>
      </c>
      <c r="H31" s="51">
        <f t="shared" si="27"/>
        <v>2</v>
      </c>
      <c r="I31" s="51">
        <f t="shared" si="27"/>
        <v>2</v>
      </c>
      <c r="J31" s="51">
        <f t="shared" si="27"/>
        <v>2</v>
      </c>
      <c r="K31" s="51">
        <f t="shared" si="27"/>
        <v>2</v>
      </c>
      <c r="L31" s="51">
        <f t="shared" si="27"/>
        <v>2</v>
      </c>
      <c r="M31" s="51">
        <f t="shared" si="28"/>
        <v>2</v>
      </c>
      <c r="N31" s="51">
        <f t="shared" si="28"/>
        <v>2</v>
      </c>
      <c r="O31" s="51">
        <f t="shared" si="28"/>
        <v>2</v>
      </c>
      <c r="P31" s="51">
        <f t="shared" si="28"/>
        <v>2</v>
      </c>
      <c r="Q31" s="51">
        <f t="shared" si="28"/>
        <v>2</v>
      </c>
      <c r="R31" s="51">
        <f t="shared" si="28"/>
        <v>2</v>
      </c>
      <c r="S31" s="51">
        <f t="shared" si="28"/>
        <v>2</v>
      </c>
      <c r="T31" s="51">
        <f t="shared" si="28"/>
        <v>2</v>
      </c>
      <c r="U31" s="51">
        <f t="shared" si="28"/>
        <v>2</v>
      </c>
      <c r="V31" s="51">
        <f t="shared" si="28"/>
        <v>2</v>
      </c>
      <c r="W31" s="51">
        <f t="shared" si="29"/>
        <v>2</v>
      </c>
      <c r="X31" s="51">
        <f t="shared" si="29"/>
        <v>2</v>
      </c>
      <c r="Y31" s="51">
        <f t="shared" si="29"/>
        <v>2</v>
      </c>
      <c r="Z31" s="51">
        <f t="shared" si="29"/>
        <v>2</v>
      </c>
      <c r="AA31" s="51">
        <f t="shared" si="29"/>
        <v>2</v>
      </c>
      <c r="AB31" s="51">
        <f t="shared" si="29"/>
        <v>2</v>
      </c>
      <c r="AC31" s="51">
        <f t="shared" si="29"/>
        <v>2</v>
      </c>
      <c r="AD31" s="51">
        <f t="shared" si="29"/>
        <v>2</v>
      </c>
      <c r="AE31" s="51">
        <f t="shared" si="29"/>
        <v>2</v>
      </c>
      <c r="AF31" s="51">
        <f t="shared" si="29"/>
        <v>2</v>
      </c>
      <c r="AG31" s="51">
        <f t="shared" si="30"/>
        <v>2</v>
      </c>
      <c r="AH31" s="51">
        <f t="shared" si="30"/>
        <v>2</v>
      </c>
      <c r="AI31" s="51">
        <f t="shared" si="30"/>
        <v>2</v>
      </c>
      <c r="AJ31" s="51">
        <f t="shared" si="30"/>
        <v>2</v>
      </c>
      <c r="AK31" s="51">
        <f t="shared" si="30"/>
        <v>2</v>
      </c>
      <c r="AL31" s="51">
        <f t="shared" si="30"/>
        <v>2</v>
      </c>
      <c r="AM31" s="51">
        <f t="shared" si="30"/>
        <v>2</v>
      </c>
      <c r="AN31" s="51">
        <f t="shared" si="30"/>
        <v>2</v>
      </c>
      <c r="AO31" s="51">
        <f t="shared" si="30"/>
        <v>2</v>
      </c>
      <c r="AP31" s="51">
        <f t="shared" si="30"/>
        <v>2</v>
      </c>
      <c r="AQ31" s="51">
        <f t="shared" si="31"/>
        <v>2</v>
      </c>
      <c r="AR31" s="51">
        <f t="shared" si="31"/>
        <v>2</v>
      </c>
      <c r="AS31" s="51">
        <f t="shared" si="31"/>
        <v>2</v>
      </c>
      <c r="AT31" s="51">
        <f t="shared" si="31"/>
        <v>2</v>
      </c>
      <c r="AU31" s="51">
        <f t="shared" si="31"/>
        <v>2</v>
      </c>
      <c r="AV31" s="51">
        <f t="shared" si="31"/>
        <v>2</v>
      </c>
      <c r="AW31" s="51">
        <f t="shared" si="31"/>
        <v>2</v>
      </c>
      <c r="AX31" s="51">
        <f t="shared" si="31"/>
        <v>2</v>
      </c>
      <c r="AY31" s="51">
        <f t="shared" si="31"/>
        <v>2</v>
      </c>
      <c r="AZ31" s="51">
        <f t="shared" si="31"/>
        <v>2</v>
      </c>
      <c r="BA31" s="51">
        <f t="shared" si="32"/>
        <v>2</v>
      </c>
      <c r="BB31" s="51">
        <f t="shared" si="32"/>
        <v>2</v>
      </c>
      <c r="BC31" s="51">
        <f t="shared" si="32"/>
        <v>2</v>
      </c>
      <c r="BD31" s="51">
        <f t="shared" si="32"/>
        <v>2</v>
      </c>
      <c r="BE31" s="51">
        <f t="shared" si="32"/>
        <v>2</v>
      </c>
      <c r="BF31" s="51">
        <f t="shared" si="32"/>
        <v>2</v>
      </c>
      <c r="BG31" s="51">
        <f t="shared" si="32"/>
        <v>2</v>
      </c>
      <c r="BH31" s="51">
        <f t="shared" si="32"/>
        <v>2</v>
      </c>
      <c r="BI31" s="51">
        <f t="shared" si="32"/>
        <v>2</v>
      </c>
      <c r="BJ31" s="51">
        <f t="shared" si="32"/>
        <v>2</v>
      </c>
    </row>
    <row r="32" spans="1:62">
      <c r="A32" s="18" t="s">
        <v>11</v>
      </c>
      <c r="B32" s="18"/>
      <c r="C32" s="19">
        <f t="shared" ref="C32:AH32" si="34">C9+C20+C24</f>
        <v>14</v>
      </c>
      <c r="D32" s="19">
        <f t="shared" si="34"/>
        <v>14</v>
      </c>
      <c r="E32" s="19">
        <f t="shared" si="34"/>
        <v>14</v>
      </c>
      <c r="F32" s="19">
        <f t="shared" si="34"/>
        <v>100</v>
      </c>
      <c r="G32" s="19">
        <f t="shared" si="34"/>
        <v>100</v>
      </c>
      <c r="H32" s="19">
        <f t="shared" si="34"/>
        <v>100</v>
      </c>
      <c r="I32" s="19">
        <f t="shared" si="34"/>
        <v>100</v>
      </c>
      <c r="J32" s="19">
        <f t="shared" si="34"/>
        <v>100</v>
      </c>
      <c r="K32" s="19">
        <f t="shared" si="34"/>
        <v>100</v>
      </c>
      <c r="L32" s="19">
        <f t="shared" si="34"/>
        <v>100</v>
      </c>
      <c r="M32" s="19">
        <f t="shared" si="34"/>
        <v>100</v>
      </c>
      <c r="N32" s="19">
        <f t="shared" si="34"/>
        <v>100</v>
      </c>
      <c r="O32" s="19">
        <f t="shared" si="34"/>
        <v>100</v>
      </c>
      <c r="P32" s="19">
        <f t="shared" si="34"/>
        <v>100</v>
      </c>
      <c r="Q32" s="19">
        <f t="shared" si="34"/>
        <v>100</v>
      </c>
      <c r="R32" s="19">
        <f t="shared" si="34"/>
        <v>100</v>
      </c>
      <c r="S32" s="19">
        <f t="shared" si="34"/>
        <v>100</v>
      </c>
      <c r="T32" s="19">
        <f t="shared" si="34"/>
        <v>100</v>
      </c>
      <c r="U32" s="19">
        <f t="shared" si="34"/>
        <v>100</v>
      </c>
      <c r="V32" s="19">
        <f t="shared" si="34"/>
        <v>100</v>
      </c>
      <c r="W32" s="19">
        <f t="shared" si="34"/>
        <v>100</v>
      </c>
      <c r="X32" s="19">
        <f t="shared" si="34"/>
        <v>100</v>
      </c>
      <c r="Y32" s="19">
        <f t="shared" si="34"/>
        <v>100</v>
      </c>
      <c r="Z32" s="19">
        <f t="shared" si="34"/>
        <v>100</v>
      </c>
      <c r="AA32" s="19">
        <f t="shared" si="34"/>
        <v>100</v>
      </c>
      <c r="AB32" s="19">
        <f t="shared" si="34"/>
        <v>100</v>
      </c>
      <c r="AC32" s="19">
        <f t="shared" si="34"/>
        <v>100</v>
      </c>
      <c r="AD32" s="19">
        <f t="shared" si="34"/>
        <v>100</v>
      </c>
      <c r="AE32" s="19">
        <f t="shared" si="34"/>
        <v>100</v>
      </c>
      <c r="AF32" s="19">
        <f t="shared" si="34"/>
        <v>100</v>
      </c>
      <c r="AG32" s="19">
        <f t="shared" si="34"/>
        <v>100</v>
      </c>
      <c r="AH32" s="19">
        <f t="shared" si="34"/>
        <v>100</v>
      </c>
      <c r="AI32" s="19">
        <f t="shared" ref="AI32:BJ32" si="35">AI9+AI20+AI24</f>
        <v>100</v>
      </c>
      <c r="AJ32" s="19">
        <f t="shared" si="35"/>
        <v>100</v>
      </c>
      <c r="AK32" s="19">
        <f t="shared" si="35"/>
        <v>100</v>
      </c>
      <c r="AL32" s="19">
        <f t="shared" si="35"/>
        <v>100</v>
      </c>
      <c r="AM32" s="19">
        <f t="shared" si="35"/>
        <v>100</v>
      </c>
      <c r="AN32" s="19">
        <f t="shared" si="35"/>
        <v>100</v>
      </c>
      <c r="AO32" s="19">
        <f t="shared" si="35"/>
        <v>100</v>
      </c>
      <c r="AP32" s="19">
        <f t="shared" si="35"/>
        <v>100</v>
      </c>
      <c r="AQ32" s="19">
        <f t="shared" si="35"/>
        <v>100</v>
      </c>
      <c r="AR32" s="19">
        <f t="shared" si="35"/>
        <v>100</v>
      </c>
      <c r="AS32" s="19">
        <f t="shared" si="35"/>
        <v>100</v>
      </c>
      <c r="AT32" s="19">
        <f t="shared" si="35"/>
        <v>100</v>
      </c>
      <c r="AU32" s="19">
        <f t="shared" si="35"/>
        <v>100</v>
      </c>
      <c r="AV32" s="19">
        <f t="shared" si="35"/>
        <v>100</v>
      </c>
      <c r="AW32" s="19">
        <f t="shared" si="35"/>
        <v>100</v>
      </c>
      <c r="AX32" s="19">
        <f t="shared" si="35"/>
        <v>100</v>
      </c>
      <c r="AY32" s="19">
        <f t="shared" si="35"/>
        <v>100</v>
      </c>
      <c r="AZ32" s="19">
        <f t="shared" si="35"/>
        <v>100</v>
      </c>
      <c r="BA32" s="19">
        <f t="shared" si="35"/>
        <v>100</v>
      </c>
      <c r="BB32" s="19">
        <f t="shared" si="35"/>
        <v>100</v>
      </c>
      <c r="BC32" s="19">
        <f t="shared" si="35"/>
        <v>100</v>
      </c>
      <c r="BD32" s="19">
        <f t="shared" si="35"/>
        <v>100</v>
      </c>
      <c r="BE32" s="19">
        <f t="shared" si="35"/>
        <v>100</v>
      </c>
      <c r="BF32" s="19">
        <f t="shared" si="35"/>
        <v>100</v>
      </c>
      <c r="BG32" s="19">
        <f t="shared" si="35"/>
        <v>100</v>
      </c>
      <c r="BH32" s="19">
        <f t="shared" si="35"/>
        <v>100</v>
      </c>
      <c r="BI32" s="19">
        <f t="shared" si="35"/>
        <v>100</v>
      </c>
      <c r="BJ32" s="19">
        <f t="shared" si="35"/>
        <v>100</v>
      </c>
    </row>
    <row r="33" spans="1:62"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</row>
    <row r="34" spans="1:62">
      <c r="A34" s="49" t="s">
        <v>248</v>
      </c>
      <c r="B34" s="47" t="s">
        <v>249</v>
      </c>
      <c r="C34" s="221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</row>
    <row r="35" spans="1:62">
      <c r="A35" s="34" t="str">
        <f t="shared" ref="A35:A45" si="36">A117</f>
        <v>Производственный персонал</v>
      </c>
      <c r="B35" s="24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</row>
    <row r="36" spans="1:62">
      <c r="A36" s="30" t="str">
        <f t="shared" si="36"/>
        <v>Лаборант-микробиолог</v>
      </c>
      <c r="B36" s="33">
        <v>52000</v>
      </c>
      <c r="C36" s="52">
        <f t="shared" ref="C36:L45" si="37">$B36*C$113</f>
        <v>52000</v>
      </c>
      <c r="D36" s="52">
        <f t="shared" si="37"/>
        <v>52000</v>
      </c>
      <c r="E36" s="52">
        <f t="shared" si="37"/>
        <v>52000</v>
      </c>
      <c r="F36" s="52">
        <f t="shared" si="37"/>
        <v>52000</v>
      </c>
      <c r="G36" s="52">
        <f t="shared" si="37"/>
        <v>53560</v>
      </c>
      <c r="H36" s="52">
        <f t="shared" si="37"/>
        <v>53560</v>
      </c>
      <c r="I36" s="52">
        <f t="shared" si="37"/>
        <v>53560</v>
      </c>
      <c r="J36" s="52">
        <f t="shared" si="37"/>
        <v>53560</v>
      </c>
      <c r="K36" s="52">
        <f t="shared" si="37"/>
        <v>53560</v>
      </c>
      <c r="L36" s="52">
        <f t="shared" si="37"/>
        <v>53560</v>
      </c>
      <c r="M36" s="52">
        <f t="shared" ref="M36:V45" si="38">$B36*M$113</f>
        <v>53560</v>
      </c>
      <c r="N36" s="52">
        <f t="shared" si="38"/>
        <v>53560</v>
      </c>
      <c r="O36" s="52">
        <f t="shared" si="38"/>
        <v>53560</v>
      </c>
      <c r="P36" s="52">
        <f t="shared" si="38"/>
        <v>53560</v>
      </c>
      <c r="Q36" s="52">
        <f t="shared" si="38"/>
        <v>53560</v>
      </c>
      <c r="R36" s="52">
        <f t="shared" si="38"/>
        <v>53560</v>
      </c>
      <c r="S36" s="52">
        <f t="shared" si="38"/>
        <v>55166.799999999996</v>
      </c>
      <c r="T36" s="52">
        <f t="shared" si="38"/>
        <v>55166.799999999996</v>
      </c>
      <c r="U36" s="52">
        <f t="shared" si="38"/>
        <v>55166.799999999996</v>
      </c>
      <c r="V36" s="52">
        <f t="shared" si="38"/>
        <v>55166.799999999996</v>
      </c>
      <c r="W36" s="52">
        <f t="shared" ref="W36:AF45" si="39">$B36*W$113</f>
        <v>55166.799999999996</v>
      </c>
      <c r="X36" s="52">
        <f t="shared" si="39"/>
        <v>55166.799999999996</v>
      </c>
      <c r="Y36" s="52">
        <f t="shared" si="39"/>
        <v>55166.799999999996</v>
      </c>
      <c r="Z36" s="52">
        <f t="shared" si="39"/>
        <v>55166.799999999996</v>
      </c>
      <c r="AA36" s="52">
        <f t="shared" si="39"/>
        <v>55166.799999999996</v>
      </c>
      <c r="AB36" s="52">
        <f t="shared" si="39"/>
        <v>55166.799999999996</v>
      </c>
      <c r="AC36" s="52">
        <f t="shared" si="39"/>
        <v>55166.799999999996</v>
      </c>
      <c r="AD36" s="52">
        <f t="shared" si="39"/>
        <v>55166.799999999996</v>
      </c>
      <c r="AE36" s="52">
        <f t="shared" si="39"/>
        <v>56821.804000000004</v>
      </c>
      <c r="AF36" s="52">
        <f t="shared" si="39"/>
        <v>56821.804000000004</v>
      </c>
      <c r="AG36" s="52">
        <f t="shared" ref="AG36:AP45" si="40">$B36*AG$113</f>
        <v>56821.804000000004</v>
      </c>
      <c r="AH36" s="52">
        <f t="shared" si="40"/>
        <v>56821.804000000004</v>
      </c>
      <c r="AI36" s="52">
        <f t="shared" si="40"/>
        <v>56821.804000000004</v>
      </c>
      <c r="AJ36" s="52">
        <f t="shared" si="40"/>
        <v>56821.804000000004</v>
      </c>
      <c r="AK36" s="52">
        <f t="shared" si="40"/>
        <v>56821.804000000004</v>
      </c>
      <c r="AL36" s="52">
        <f t="shared" si="40"/>
        <v>56821.804000000004</v>
      </c>
      <c r="AM36" s="52">
        <f t="shared" si="40"/>
        <v>56821.804000000004</v>
      </c>
      <c r="AN36" s="52">
        <f t="shared" si="40"/>
        <v>56821.804000000004</v>
      </c>
      <c r="AO36" s="52">
        <f t="shared" si="40"/>
        <v>56821.804000000004</v>
      </c>
      <c r="AP36" s="52">
        <f t="shared" si="40"/>
        <v>56821.804000000004</v>
      </c>
      <c r="AQ36" s="52">
        <f t="shared" ref="AQ36:AZ45" si="41">$B36*AQ$113</f>
        <v>58526.45812000001</v>
      </c>
      <c r="AR36" s="52">
        <f t="shared" si="41"/>
        <v>58526.45812000001</v>
      </c>
      <c r="AS36" s="52">
        <f t="shared" si="41"/>
        <v>58526.45812000001</v>
      </c>
      <c r="AT36" s="52">
        <f t="shared" si="41"/>
        <v>58526.45812000001</v>
      </c>
      <c r="AU36" s="52">
        <f t="shared" si="41"/>
        <v>58526.45812000001</v>
      </c>
      <c r="AV36" s="52">
        <f t="shared" si="41"/>
        <v>58526.45812000001</v>
      </c>
      <c r="AW36" s="52">
        <f t="shared" si="41"/>
        <v>58526.45812000001</v>
      </c>
      <c r="AX36" s="52">
        <f t="shared" si="41"/>
        <v>58526.45812000001</v>
      </c>
      <c r="AY36" s="52">
        <f t="shared" si="41"/>
        <v>58526.45812000001</v>
      </c>
      <c r="AZ36" s="52">
        <f t="shared" si="41"/>
        <v>58526.45812000001</v>
      </c>
      <c r="BA36" s="52">
        <f t="shared" ref="BA36:BJ45" si="42">$B36*BA$113</f>
        <v>58526.45812000001</v>
      </c>
      <c r="BB36" s="52">
        <f t="shared" si="42"/>
        <v>58526.45812000001</v>
      </c>
      <c r="BC36" s="52">
        <f t="shared" si="42"/>
        <v>60282.251863600002</v>
      </c>
      <c r="BD36" s="52">
        <f t="shared" si="42"/>
        <v>60282.251863600002</v>
      </c>
      <c r="BE36" s="52">
        <f t="shared" si="42"/>
        <v>60282.251863600002</v>
      </c>
      <c r="BF36" s="52">
        <f t="shared" si="42"/>
        <v>60282.251863600002</v>
      </c>
      <c r="BG36" s="52">
        <f t="shared" si="42"/>
        <v>60282.251863600002</v>
      </c>
      <c r="BH36" s="52">
        <f t="shared" si="42"/>
        <v>60282.251863600002</v>
      </c>
      <c r="BI36" s="52">
        <f t="shared" si="42"/>
        <v>60282.251863600002</v>
      </c>
      <c r="BJ36" s="52">
        <f t="shared" si="42"/>
        <v>60282.251863600002</v>
      </c>
    </row>
    <row r="37" spans="1:62">
      <c r="A37" s="30" t="str">
        <f t="shared" si="36"/>
        <v>Инженер-механик</v>
      </c>
      <c r="B37" s="33">
        <v>81000</v>
      </c>
      <c r="C37" s="52">
        <f t="shared" si="37"/>
        <v>81000</v>
      </c>
      <c r="D37" s="52">
        <f t="shared" si="37"/>
        <v>81000</v>
      </c>
      <c r="E37" s="52">
        <f t="shared" si="37"/>
        <v>81000</v>
      </c>
      <c r="F37" s="52">
        <f t="shared" si="37"/>
        <v>81000</v>
      </c>
      <c r="G37" s="52">
        <f t="shared" si="37"/>
        <v>83430</v>
      </c>
      <c r="H37" s="52">
        <f t="shared" si="37"/>
        <v>83430</v>
      </c>
      <c r="I37" s="52">
        <f t="shared" si="37"/>
        <v>83430</v>
      </c>
      <c r="J37" s="52">
        <f t="shared" si="37"/>
        <v>83430</v>
      </c>
      <c r="K37" s="52">
        <f t="shared" si="37"/>
        <v>83430</v>
      </c>
      <c r="L37" s="52">
        <f t="shared" si="37"/>
        <v>83430</v>
      </c>
      <c r="M37" s="52">
        <f t="shared" si="38"/>
        <v>83430</v>
      </c>
      <c r="N37" s="52">
        <f t="shared" si="38"/>
        <v>83430</v>
      </c>
      <c r="O37" s="52">
        <f t="shared" si="38"/>
        <v>83430</v>
      </c>
      <c r="P37" s="52">
        <f t="shared" si="38"/>
        <v>83430</v>
      </c>
      <c r="Q37" s="52">
        <f t="shared" si="38"/>
        <v>83430</v>
      </c>
      <c r="R37" s="52">
        <f t="shared" si="38"/>
        <v>83430</v>
      </c>
      <c r="S37" s="52">
        <f t="shared" si="38"/>
        <v>85932.9</v>
      </c>
      <c r="T37" s="52">
        <f t="shared" si="38"/>
        <v>85932.9</v>
      </c>
      <c r="U37" s="52">
        <f t="shared" si="38"/>
        <v>85932.9</v>
      </c>
      <c r="V37" s="52">
        <f t="shared" si="38"/>
        <v>85932.9</v>
      </c>
      <c r="W37" s="52">
        <f t="shared" si="39"/>
        <v>85932.9</v>
      </c>
      <c r="X37" s="52">
        <f t="shared" si="39"/>
        <v>85932.9</v>
      </c>
      <c r="Y37" s="52">
        <f t="shared" si="39"/>
        <v>85932.9</v>
      </c>
      <c r="Z37" s="52">
        <f t="shared" si="39"/>
        <v>85932.9</v>
      </c>
      <c r="AA37" s="52">
        <f t="shared" si="39"/>
        <v>85932.9</v>
      </c>
      <c r="AB37" s="52">
        <f t="shared" si="39"/>
        <v>85932.9</v>
      </c>
      <c r="AC37" s="52">
        <f t="shared" si="39"/>
        <v>85932.9</v>
      </c>
      <c r="AD37" s="52">
        <f t="shared" si="39"/>
        <v>85932.9</v>
      </c>
      <c r="AE37" s="52">
        <f t="shared" si="39"/>
        <v>88510.887000000002</v>
      </c>
      <c r="AF37" s="52">
        <f t="shared" si="39"/>
        <v>88510.887000000002</v>
      </c>
      <c r="AG37" s="52">
        <f t="shared" si="40"/>
        <v>88510.887000000002</v>
      </c>
      <c r="AH37" s="52">
        <f t="shared" si="40"/>
        <v>88510.887000000002</v>
      </c>
      <c r="AI37" s="52">
        <f t="shared" si="40"/>
        <v>88510.887000000002</v>
      </c>
      <c r="AJ37" s="52">
        <f t="shared" si="40"/>
        <v>88510.887000000002</v>
      </c>
      <c r="AK37" s="52">
        <f t="shared" si="40"/>
        <v>88510.887000000002</v>
      </c>
      <c r="AL37" s="52">
        <f t="shared" si="40"/>
        <v>88510.887000000002</v>
      </c>
      <c r="AM37" s="52">
        <f t="shared" si="40"/>
        <v>88510.887000000002</v>
      </c>
      <c r="AN37" s="52">
        <f t="shared" si="40"/>
        <v>88510.887000000002</v>
      </c>
      <c r="AO37" s="52">
        <f t="shared" si="40"/>
        <v>88510.887000000002</v>
      </c>
      <c r="AP37" s="52">
        <f t="shared" si="40"/>
        <v>88510.887000000002</v>
      </c>
      <c r="AQ37" s="52">
        <f t="shared" si="41"/>
        <v>91166.213610000006</v>
      </c>
      <c r="AR37" s="52">
        <f t="shared" si="41"/>
        <v>91166.213610000006</v>
      </c>
      <c r="AS37" s="52">
        <f t="shared" si="41"/>
        <v>91166.213610000006</v>
      </c>
      <c r="AT37" s="52">
        <f t="shared" si="41"/>
        <v>91166.213610000006</v>
      </c>
      <c r="AU37" s="52">
        <f t="shared" si="41"/>
        <v>91166.213610000006</v>
      </c>
      <c r="AV37" s="52">
        <f t="shared" si="41"/>
        <v>91166.213610000006</v>
      </c>
      <c r="AW37" s="52">
        <f t="shared" si="41"/>
        <v>91166.213610000006</v>
      </c>
      <c r="AX37" s="52">
        <f t="shared" si="41"/>
        <v>91166.213610000006</v>
      </c>
      <c r="AY37" s="52">
        <f t="shared" si="41"/>
        <v>91166.213610000006</v>
      </c>
      <c r="AZ37" s="52">
        <f t="shared" si="41"/>
        <v>91166.213610000006</v>
      </c>
      <c r="BA37" s="52">
        <f t="shared" si="42"/>
        <v>91166.213610000006</v>
      </c>
      <c r="BB37" s="52">
        <f t="shared" si="42"/>
        <v>91166.213610000006</v>
      </c>
      <c r="BC37" s="52">
        <f t="shared" si="42"/>
        <v>93901.200018300005</v>
      </c>
      <c r="BD37" s="52">
        <f t="shared" si="42"/>
        <v>93901.200018300005</v>
      </c>
      <c r="BE37" s="52">
        <f t="shared" si="42"/>
        <v>93901.200018300005</v>
      </c>
      <c r="BF37" s="52">
        <f t="shared" si="42"/>
        <v>93901.200018300005</v>
      </c>
      <c r="BG37" s="52">
        <f t="shared" si="42"/>
        <v>93901.200018300005</v>
      </c>
      <c r="BH37" s="52">
        <f t="shared" si="42"/>
        <v>93901.200018300005</v>
      </c>
      <c r="BI37" s="52">
        <f t="shared" si="42"/>
        <v>93901.200018300005</v>
      </c>
      <c r="BJ37" s="52">
        <f t="shared" si="42"/>
        <v>93901.200018300005</v>
      </c>
    </row>
    <row r="38" spans="1:62">
      <c r="A38" s="30" t="str">
        <f t="shared" si="36"/>
        <v>Электрик/слесарь-ремонтник</v>
      </c>
      <c r="B38" s="33">
        <v>98000</v>
      </c>
      <c r="C38" s="52">
        <f t="shared" si="37"/>
        <v>98000</v>
      </c>
      <c r="D38" s="52">
        <f t="shared" si="37"/>
        <v>98000</v>
      </c>
      <c r="E38" s="52">
        <f t="shared" si="37"/>
        <v>98000</v>
      </c>
      <c r="F38" s="52">
        <f t="shared" si="37"/>
        <v>98000</v>
      </c>
      <c r="G38" s="52">
        <f t="shared" si="37"/>
        <v>100940</v>
      </c>
      <c r="H38" s="52">
        <f t="shared" si="37"/>
        <v>100940</v>
      </c>
      <c r="I38" s="52">
        <f t="shared" si="37"/>
        <v>100940</v>
      </c>
      <c r="J38" s="52">
        <f t="shared" si="37"/>
        <v>100940</v>
      </c>
      <c r="K38" s="52">
        <f t="shared" si="37"/>
        <v>100940</v>
      </c>
      <c r="L38" s="52">
        <f t="shared" si="37"/>
        <v>100940</v>
      </c>
      <c r="M38" s="52">
        <f t="shared" si="38"/>
        <v>100940</v>
      </c>
      <c r="N38" s="52">
        <f t="shared" si="38"/>
        <v>100940</v>
      </c>
      <c r="O38" s="52">
        <f t="shared" si="38"/>
        <v>100940</v>
      </c>
      <c r="P38" s="52">
        <f t="shared" si="38"/>
        <v>100940</v>
      </c>
      <c r="Q38" s="52">
        <f t="shared" si="38"/>
        <v>100940</v>
      </c>
      <c r="R38" s="52">
        <f t="shared" si="38"/>
        <v>100940</v>
      </c>
      <c r="S38" s="52">
        <f t="shared" si="38"/>
        <v>103968.2</v>
      </c>
      <c r="T38" s="52">
        <f t="shared" si="38"/>
        <v>103968.2</v>
      </c>
      <c r="U38" s="52">
        <f t="shared" si="38"/>
        <v>103968.2</v>
      </c>
      <c r="V38" s="52">
        <f t="shared" si="38"/>
        <v>103968.2</v>
      </c>
      <c r="W38" s="52">
        <f t="shared" si="39"/>
        <v>103968.2</v>
      </c>
      <c r="X38" s="52">
        <f t="shared" si="39"/>
        <v>103968.2</v>
      </c>
      <c r="Y38" s="52">
        <f t="shared" si="39"/>
        <v>103968.2</v>
      </c>
      <c r="Z38" s="52">
        <f t="shared" si="39"/>
        <v>103968.2</v>
      </c>
      <c r="AA38" s="52">
        <f t="shared" si="39"/>
        <v>103968.2</v>
      </c>
      <c r="AB38" s="52">
        <f t="shared" si="39"/>
        <v>103968.2</v>
      </c>
      <c r="AC38" s="52">
        <f t="shared" si="39"/>
        <v>103968.2</v>
      </c>
      <c r="AD38" s="52">
        <f t="shared" si="39"/>
        <v>103968.2</v>
      </c>
      <c r="AE38" s="52">
        <f t="shared" si="39"/>
        <v>107087.246</v>
      </c>
      <c r="AF38" s="52">
        <f t="shared" si="39"/>
        <v>107087.246</v>
      </c>
      <c r="AG38" s="52">
        <f t="shared" si="40"/>
        <v>107087.246</v>
      </c>
      <c r="AH38" s="52">
        <f t="shared" si="40"/>
        <v>107087.246</v>
      </c>
      <c r="AI38" s="52">
        <f t="shared" si="40"/>
        <v>107087.246</v>
      </c>
      <c r="AJ38" s="52">
        <f t="shared" si="40"/>
        <v>107087.246</v>
      </c>
      <c r="AK38" s="52">
        <f t="shared" si="40"/>
        <v>107087.246</v>
      </c>
      <c r="AL38" s="52">
        <f t="shared" si="40"/>
        <v>107087.246</v>
      </c>
      <c r="AM38" s="52">
        <f t="shared" si="40"/>
        <v>107087.246</v>
      </c>
      <c r="AN38" s="52">
        <f t="shared" si="40"/>
        <v>107087.246</v>
      </c>
      <c r="AO38" s="52">
        <f t="shared" si="40"/>
        <v>107087.246</v>
      </c>
      <c r="AP38" s="52">
        <f t="shared" si="40"/>
        <v>107087.246</v>
      </c>
      <c r="AQ38" s="52">
        <f t="shared" si="41"/>
        <v>110299.86338000001</v>
      </c>
      <c r="AR38" s="52">
        <f t="shared" si="41"/>
        <v>110299.86338000001</v>
      </c>
      <c r="AS38" s="52">
        <f t="shared" si="41"/>
        <v>110299.86338000001</v>
      </c>
      <c r="AT38" s="52">
        <f t="shared" si="41"/>
        <v>110299.86338000001</v>
      </c>
      <c r="AU38" s="52">
        <f t="shared" si="41"/>
        <v>110299.86338000001</v>
      </c>
      <c r="AV38" s="52">
        <f t="shared" si="41"/>
        <v>110299.86338000001</v>
      </c>
      <c r="AW38" s="52">
        <f t="shared" si="41"/>
        <v>110299.86338000001</v>
      </c>
      <c r="AX38" s="52">
        <f t="shared" si="41"/>
        <v>110299.86338000001</v>
      </c>
      <c r="AY38" s="52">
        <f t="shared" si="41"/>
        <v>110299.86338000001</v>
      </c>
      <c r="AZ38" s="52">
        <f t="shared" si="41"/>
        <v>110299.86338000001</v>
      </c>
      <c r="BA38" s="52">
        <f t="shared" si="42"/>
        <v>110299.86338000001</v>
      </c>
      <c r="BB38" s="52">
        <f t="shared" si="42"/>
        <v>110299.86338000001</v>
      </c>
      <c r="BC38" s="52">
        <f t="shared" si="42"/>
        <v>113608.8592814</v>
      </c>
      <c r="BD38" s="52">
        <f t="shared" si="42"/>
        <v>113608.8592814</v>
      </c>
      <c r="BE38" s="52">
        <f t="shared" si="42"/>
        <v>113608.8592814</v>
      </c>
      <c r="BF38" s="52">
        <f t="shared" si="42"/>
        <v>113608.8592814</v>
      </c>
      <c r="BG38" s="52">
        <f t="shared" si="42"/>
        <v>113608.8592814</v>
      </c>
      <c r="BH38" s="52">
        <f t="shared" si="42"/>
        <v>113608.8592814</v>
      </c>
      <c r="BI38" s="52">
        <f t="shared" si="42"/>
        <v>113608.8592814</v>
      </c>
      <c r="BJ38" s="52">
        <f t="shared" si="42"/>
        <v>113608.8592814</v>
      </c>
    </row>
    <row r="39" spans="1:62">
      <c r="A39" s="30" t="str">
        <f t="shared" si="36"/>
        <v>Обвальщик/мясник</v>
      </c>
      <c r="B39" s="33">
        <v>95000</v>
      </c>
      <c r="C39" s="52">
        <f t="shared" si="37"/>
        <v>95000</v>
      </c>
      <c r="D39" s="52">
        <f t="shared" si="37"/>
        <v>95000</v>
      </c>
      <c r="E39" s="52">
        <f t="shared" si="37"/>
        <v>95000</v>
      </c>
      <c r="F39" s="52">
        <f t="shared" si="37"/>
        <v>95000</v>
      </c>
      <c r="G39" s="52">
        <f t="shared" si="37"/>
        <v>97850</v>
      </c>
      <c r="H39" s="52">
        <f t="shared" si="37"/>
        <v>97850</v>
      </c>
      <c r="I39" s="52">
        <f t="shared" si="37"/>
        <v>97850</v>
      </c>
      <c r="J39" s="52">
        <f t="shared" si="37"/>
        <v>97850</v>
      </c>
      <c r="K39" s="52">
        <f t="shared" si="37"/>
        <v>97850</v>
      </c>
      <c r="L39" s="52">
        <f t="shared" si="37"/>
        <v>97850</v>
      </c>
      <c r="M39" s="52">
        <f t="shared" si="38"/>
        <v>97850</v>
      </c>
      <c r="N39" s="52">
        <f t="shared" si="38"/>
        <v>97850</v>
      </c>
      <c r="O39" s="52">
        <f t="shared" si="38"/>
        <v>97850</v>
      </c>
      <c r="P39" s="52">
        <f t="shared" si="38"/>
        <v>97850</v>
      </c>
      <c r="Q39" s="52">
        <f t="shared" si="38"/>
        <v>97850</v>
      </c>
      <c r="R39" s="52">
        <f t="shared" si="38"/>
        <v>97850</v>
      </c>
      <c r="S39" s="52">
        <f t="shared" si="38"/>
        <v>100785.5</v>
      </c>
      <c r="T39" s="52">
        <f t="shared" si="38"/>
        <v>100785.5</v>
      </c>
      <c r="U39" s="52">
        <f t="shared" si="38"/>
        <v>100785.5</v>
      </c>
      <c r="V39" s="52">
        <f t="shared" si="38"/>
        <v>100785.5</v>
      </c>
      <c r="W39" s="52">
        <f t="shared" si="39"/>
        <v>100785.5</v>
      </c>
      <c r="X39" s="52">
        <f t="shared" si="39"/>
        <v>100785.5</v>
      </c>
      <c r="Y39" s="52">
        <f t="shared" si="39"/>
        <v>100785.5</v>
      </c>
      <c r="Z39" s="52">
        <f t="shared" si="39"/>
        <v>100785.5</v>
      </c>
      <c r="AA39" s="52">
        <f t="shared" si="39"/>
        <v>100785.5</v>
      </c>
      <c r="AB39" s="52">
        <f t="shared" si="39"/>
        <v>100785.5</v>
      </c>
      <c r="AC39" s="52">
        <f t="shared" si="39"/>
        <v>100785.5</v>
      </c>
      <c r="AD39" s="52">
        <f t="shared" si="39"/>
        <v>100785.5</v>
      </c>
      <c r="AE39" s="52">
        <f t="shared" si="39"/>
        <v>103809.065</v>
      </c>
      <c r="AF39" s="52">
        <f t="shared" si="39"/>
        <v>103809.065</v>
      </c>
      <c r="AG39" s="52">
        <f t="shared" si="40"/>
        <v>103809.065</v>
      </c>
      <c r="AH39" s="52">
        <f t="shared" si="40"/>
        <v>103809.065</v>
      </c>
      <c r="AI39" s="52">
        <f t="shared" si="40"/>
        <v>103809.065</v>
      </c>
      <c r="AJ39" s="52">
        <f t="shared" si="40"/>
        <v>103809.065</v>
      </c>
      <c r="AK39" s="52">
        <f t="shared" si="40"/>
        <v>103809.065</v>
      </c>
      <c r="AL39" s="52">
        <f t="shared" si="40"/>
        <v>103809.065</v>
      </c>
      <c r="AM39" s="52">
        <f t="shared" si="40"/>
        <v>103809.065</v>
      </c>
      <c r="AN39" s="52">
        <f t="shared" si="40"/>
        <v>103809.065</v>
      </c>
      <c r="AO39" s="52">
        <f t="shared" si="40"/>
        <v>103809.065</v>
      </c>
      <c r="AP39" s="52">
        <f t="shared" si="40"/>
        <v>103809.065</v>
      </c>
      <c r="AQ39" s="52">
        <f t="shared" si="41"/>
        <v>106923.33695000001</v>
      </c>
      <c r="AR39" s="52">
        <f t="shared" si="41"/>
        <v>106923.33695000001</v>
      </c>
      <c r="AS39" s="52">
        <f t="shared" si="41"/>
        <v>106923.33695000001</v>
      </c>
      <c r="AT39" s="52">
        <f t="shared" si="41"/>
        <v>106923.33695000001</v>
      </c>
      <c r="AU39" s="52">
        <f t="shared" si="41"/>
        <v>106923.33695000001</v>
      </c>
      <c r="AV39" s="52">
        <f t="shared" si="41"/>
        <v>106923.33695000001</v>
      </c>
      <c r="AW39" s="52">
        <f t="shared" si="41"/>
        <v>106923.33695000001</v>
      </c>
      <c r="AX39" s="52">
        <f t="shared" si="41"/>
        <v>106923.33695000001</v>
      </c>
      <c r="AY39" s="52">
        <f t="shared" si="41"/>
        <v>106923.33695000001</v>
      </c>
      <c r="AZ39" s="52">
        <f t="shared" si="41"/>
        <v>106923.33695000001</v>
      </c>
      <c r="BA39" s="52">
        <f t="shared" si="42"/>
        <v>106923.33695000001</v>
      </c>
      <c r="BB39" s="52">
        <f t="shared" si="42"/>
        <v>106923.33695000001</v>
      </c>
      <c r="BC39" s="52">
        <f t="shared" si="42"/>
        <v>110131.03705850001</v>
      </c>
      <c r="BD39" s="52">
        <f t="shared" si="42"/>
        <v>110131.03705850001</v>
      </c>
      <c r="BE39" s="52">
        <f t="shared" si="42"/>
        <v>110131.03705850001</v>
      </c>
      <c r="BF39" s="52">
        <f t="shared" si="42"/>
        <v>110131.03705850001</v>
      </c>
      <c r="BG39" s="52">
        <f t="shared" si="42"/>
        <v>110131.03705850001</v>
      </c>
      <c r="BH39" s="52">
        <f t="shared" si="42"/>
        <v>110131.03705850001</v>
      </c>
      <c r="BI39" s="52">
        <f t="shared" si="42"/>
        <v>110131.03705850001</v>
      </c>
      <c r="BJ39" s="52">
        <f t="shared" si="42"/>
        <v>110131.03705850001</v>
      </c>
    </row>
    <row r="40" spans="1:62">
      <c r="A40" s="30" t="str">
        <f t="shared" si="36"/>
        <v>Рабочий убойного цеха</v>
      </c>
      <c r="B40" s="33">
        <v>60000</v>
      </c>
      <c r="C40" s="52">
        <f t="shared" si="37"/>
        <v>60000</v>
      </c>
      <c r="D40" s="52">
        <f t="shared" si="37"/>
        <v>60000</v>
      </c>
      <c r="E40" s="52">
        <f t="shared" si="37"/>
        <v>60000</v>
      </c>
      <c r="F40" s="52">
        <f t="shared" si="37"/>
        <v>60000</v>
      </c>
      <c r="G40" s="52">
        <f t="shared" si="37"/>
        <v>61800</v>
      </c>
      <c r="H40" s="52">
        <f t="shared" si="37"/>
        <v>61800</v>
      </c>
      <c r="I40" s="52">
        <f t="shared" si="37"/>
        <v>61800</v>
      </c>
      <c r="J40" s="52">
        <f t="shared" si="37"/>
        <v>61800</v>
      </c>
      <c r="K40" s="52">
        <f t="shared" si="37"/>
        <v>61800</v>
      </c>
      <c r="L40" s="52">
        <f t="shared" si="37"/>
        <v>61800</v>
      </c>
      <c r="M40" s="52">
        <f t="shared" si="38"/>
        <v>61800</v>
      </c>
      <c r="N40" s="52">
        <f t="shared" si="38"/>
        <v>61800</v>
      </c>
      <c r="O40" s="52">
        <f t="shared" si="38"/>
        <v>61800</v>
      </c>
      <c r="P40" s="52">
        <f t="shared" si="38"/>
        <v>61800</v>
      </c>
      <c r="Q40" s="52">
        <f t="shared" si="38"/>
        <v>61800</v>
      </c>
      <c r="R40" s="52">
        <f t="shared" si="38"/>
        <v>61800</v>
      </c>
      <c r="S40" s="52">
        <f t="shared" si="38"/>
        <v>63654</v>
      </c>
      <c r="T40" s="52">
        <f t="shared" si="38"/>
        <v>63654</v>
      </c>
      <c r="U40" s="52">
        <f t="shared" si="38"/>
        <v>63654</v>
      </c>
      <c r="V40" s="52">
        <f t="shared" si="38"/>
        <v>63654</v>
      </c>
      <c r="W40" s="52">
        <f t="shared" si="39"/>
        <v>63654</v>
      </c>
      <c r="X40" s="52">
        <f t="shared" si="39"/>
        <v>63654</v>
      </c>
      <c r="Y40" s="52">
        <f t="shared" si="39"/>
        <v>63654</v>
      </c>
      <c r="Z40" s="52">
        <f t="shared" si="39"/>
        <v>63654</v>
      </c>
      <c r="AA40" s="52">
        <f t="shared" si="39"/>
        <v>63654</v>
      </c>
      <c r="AB40" s="52">
        <f t="shared" si="39"/>
        <v>63654</v>
      </c>
      <c r="AC40" s="52">
        <f t="shared" si="39"/>
        <v>63654</v>
      </c>
      <c r="AD40" s="52">
        <f t="shared" si="39"/>
        <v>63654</v>
      </c>
      <c r="AE40" s="52">
        <f t="shared" si="39"/>
        <v>65563.62</v>
      </c>
      <c r="AF40" s="52">
        <f t="shared" si="39"/>
        <v>65563.62</v>
      </c>
      <c r="AG40" s="52">
        <f t="shared" si="40"/>
        <v>65563.62</v>
      </c>
      <c r="AH40" s="52">
        <f t="shared" si="40"/>
        <v>65563.62</v>
      </c>
      <c r="AI40" s="52">
        <f t="shared" si="40"/>
        <v>65563.62</v>
      </c>
      <c r="AJ40" s="52">
        <f t="shared" si="40"/>
        <v>65563.62</v>
      </c>
      <c r="AK40" s="52">
        <f t="shared" si="40"/>
        <v>65563.62</v>
      </c>
      <c r="AL40" s="52">
        <f t="shared" si="40"/>
        <v>65563.62</v>
      </c>
      <c r="AM40" s="52">
        <f t="shared" si="40"/>
        <v>65563.62</v>
      </c>
      <c r="AN40" s="52">
        <f t="shared" si="40"/>
        <v>65563.62</v>
      </c>
      <c r="AO40" s="52">
        <f t="shared" si="40"/>
        <v>65563.62</v>
      </c>
      <c r="AP40" s="52">
        <f t="shared" si="40"/>
        <v>65563.62</v>
      </c>
      <c r="AQ40" s="52">
        <f t="shared" si="41"/>
        <v>67530.528600000005</v>
      </c>
      <c r="AR40" s="52">
        <f t="shared" si="41"/>
        <v>67530.528600000005</v>
      </c>
      <c r="AS40" s="52">
        <f t="shared" si="41"/>
        <v>67530.528600000005</v>
      </c>
      <c r="AT40" s="52">
        <f t="shared" si="41"/>
        <v>67530.528600000005</v>
      </c>
      <c r="AU40" s="52">
        <f t="shared" si="41"/>
        <v>67530.528600000005</v>
      </c>
      <c r="AV40" s="52">
        <f t="shared" si="41"/>
        <v>67530.528600000005</v>
      </c>
      <c r="AW40" s="52">
        <f t="shared" si="41"/>
        <v>67530.528600000005</v>
      </c>
      <c r="AX40" s="52">
        <f t="shared" si="41"/>
        <v>67530.528600000005</v>
      </c>
      <c r="AY40" s="52">
        <f t="shared" si="41"/>
        <v>67530.528600000005</v>
      </c>
      <c r="AZ40" s="52">
        <f t="shared" si="41"/>
        <v>67530.528600000005</v>
      </c>
      <c r="BA40" s="52">
        <f t="shared" si="42"/>
        <v>67530.528600000005</v>
      </c>
      <c r="BB40" s="52">
        <f t="shared" si="42"/>
        <v>67530.528600000005</v>
      </c>
      <c r="BC40" s="52">
        <f t="shared" si="42"/>
        <v>69556.444457999998</v>
      </c>
      <c r="BD40" s="52">
        <f t="shared" si="42"/>
        <v>69556.444457999998</v>
      </c>
      <c r="BE40" s="52">
        <f t="shared" si="42"/>
        <v>69556.444457999998</v>
      </c>
      <c r="BF40" s="52">
        <f t="shared" si="42"/>
        <v>69556.444457999998</v>
      </c>
      <c r="BG40" s="52">
        <f t="shared" si="42"/>
        <v>69556.444457999998</v>
      </c>
      <c r="BH40" s="52">
        <f t="shared" si="42"/>
        <v>69556.444457999998</v>
      </c>
      <c r="BI40" s="52">
        <f t="shared" si="42"/>
        <v>69556.444457999998</v>
      </c>
      <c r="BJ40" s="52">
        <f t="shared" si="42"/>
        <v>69556.444457999998</v>
      </c>
    </row>
    <row r="41" spans="1:62">
      <c r="A41" s="30" t="str">
        <f t="shared" si="36"/>
        <v>Оператор упаковки/шоковой заморозки</v>
      </c>
      <c r="B41" s="33">
        <v>50000</v>
      </c>
      <c r="C41" s="52">
        <f t="shared" si="37"/>
        <v>50000</v>
      </c>
      <c r="D41" s="52">
        <f t="shared" si="37"/>
        <v>50000</v>
      </c>
      <c r="E41" s="52">
        <f t="shared" si="37"/>
        <v>50000</v>
      </c>
      <c r="F41" s="52">
        <f t="shared" si="37"/>
        <v>50000</v>
      </c>
      <c r="G41" s="52">
        <f t="shared" si="37"/>
        <v>51500</v>
      </c>
      <c r="H41" s="52">
        <f t="shared" si="37"/>
        <v>51500</v>
      </c>
      <c r="I41" s="52">
        <f t="shared" si="37"/>
        <v>51500</v>
      </c>
      <c r="J41" s="52">
        <f t="shared" si="37"/>
        <v>51500</v>
      </c>
      <c r="K41" s="52">
        <f t="shared" si="37"/>
        <v>51500</v>
      </c>
      <c r="L41" s="52">
        <f t="shared" si="37"/>
        <v>51500</v>
      </c>
      <c r="M41" s="52">
        <f t="shared" si="38"/>
        <v>51500</v>
      </c>
      <c r="N41" s="52">
        <f t="shared" si="38"/>
        <v>51500</v>
      </c>
      <c r="O41" s="52">
        <f t="shared" si="38"/>
        <v>51500</v>
      </c>
      <c r="P41" s="52">
        <f t="shared" si="38"/>
        <v>51500</v>
      </c>
      <c r="Q41" s="52">
        <f t="shared" si="38"/>
        <v>51500</v>
      </c>
      <c r="R41" s="52">
        <f t="shared" si="38"/>
        <v>51500</v>
      </c>
      <c r="S41" s="52">
        <f t="shared" si="38"/>
        <v>53045</v>
      </c>
      <c r="T41" s="52">
        <f t="shared" si="38"/>
        <v>53045</v>
      </c>
      <c r="U41" s="52">
        <f t="shared" si="38"/>
        <v>53045</v>
      </c>
      <c r="V41" s="52">
        <f t="shared" si="38"/>
        <v>53045</v>
      </c>
      <c r="W41" s="52">
        <f t="shared" si="39"/>
        <v>53045</v>
      </c>
      <c r="X41" s="52">
        <f t="shared" si="39"/>
        <v>53045</v>
      </c>
      <c r="Y41" s="52">
        <f t="shared" si="39"/>
        <v>53045</v>
      </c>
      <c r="Z41" s="52">
        <f t="shared" si="39"/>
        <v>53045</v>
      </c>
      <c r="AA41" s="52">
        <f t="shared" si="39"/>
        <v>53045</v>
      </c>
      <c r="AB41" s="52">
        <f t="shared" si="39"/>
        <v>53045</v>
      </c>
      <c r="AC41" s="52">
        <f t="shared" si="39"/>
        <v>53045</v>
      </c>
      <c r="AD41" s="52">
        <f t="shared" si="39"/>
        <v>53045</v>
      </c>
      <c r="AE41" s="52">
        <f t="shared" si="39"/>
        <v>54636.35</v>
      </c>
      <c r="AF41" s="52">
        <f t="shared" si="39"/>
        <v>54636.35</v>
      </c>
      <c r="AG41" s="52">
        <f t="shared" si="40"/>
        <v>54636.35</v>
      </c>
      <c r="AH41" s="52">
        <f t="shared" si="40"/>
        <v>54636.35</v>
      </c>
      <c r="AI41" s="52">
        <f t="shared" si="40"/>
        <v>54636.35</v>
      </c>
      <c r="AJ41" s="52">
        <f t="shared" si="40"/>
        <v>54636.35</v>
      </c>
      <c r="AK41" s="52">
        <f t="shared" si="40"/>
        <v>54636.35</v>
      </c>
      <c r="AL41" s="52">
        <f t="shared" si="40"/>
        <v>54636.35</v>
      </c>
      <c r="AM41" s="52">
        <f t="shared" si="40"/>
        <v>54636.35</v>
      </c>
      <c r="AN41" s="52">
        <f t="shared" si="40"/>
        <v>54636.35</v>
      </c>
      <c r="AO41" s="52">
        <f t="shared" si="40"/>
        <v>54636.35</v>
      </c>
      <c r="AP41" s="52">
        <f t="shared" si="40"/>
        <v>54636.35</v>
      </c>
      <c r="AQ41" s="52">
        <f t="shared" si="41"/>
        <v>56275.440500000004</v>
      </c>
      <c r="AR41" s="52">
        <f t="shared" si="41"/>
        <v>56275.440500000004</v>
      </c>
      <c r="AS41" s="52">
        <f t="shared" si="41"/>
        <v>56275.440500000004</v>
      </c>
      <c r="AT41" s="52">
        <f t="shared" si="41"/>
        <v>56275.440500000004</v>
      </c>
      <c r="AU41" s="52">
        <f t="shared" si="41"/>
        <v>56275.440500000004</v>
      </c>
      <c r="AV41" s="52">
        <f t="shared" si="41"/>
        <v>56275.440500000004</v>
      </c>
      <c r="AW41" s="52">
        <f t="shared" si="41"/>
        <v>56275.440500000004</v>
      </c>
      <c r="AX41" s="52">
        <f t="shared" si="41"/>
        <v>56275.440500000004</v>
      </c>
      <c r="AY41" s="52">
        <f t="shared" si="41"/>
        <v>56275.440500000004</v>
      </c>
      <c r="AZ41" s="52">
        <f t="shared" si="41"/>
        <v>56275.440500000004</v>
      </c>
      <c r="BA41" s="52">
        <f t="shared" si="42"/>
        <v>56275.440500000004</v>
      </c>
      <c r="BB41" s="52">
        <f t="shared" si="42"/>
        <v>56275.440500000004</v>
      </c>
      <c r="BC41" s="52">
        <f t="shared" si="42"/>
        <v>57963.703715000003</v>
      </c>
      <c r="BD41" s="52">
        <f t="shared" si="42"/>
        <v>57963.703715000003</v>
      </c>
      <c r="BE41" s="52">
        <f t="shared" si="42"/>
        <v>57963.703715000003</v>
      </c>
      <c r="BF41" s="52">
        <f t="shared" si="42"/>
        <v>57963.703715000003</v>
      </c>
      <c r="BG41" s="52">
        <f t="shared" si="42"/>
        <v>57963.703715000003</v>
      </c>
      <c r="BH41" s="52">
        <f t="shared" si="42"/>
        <v>57963.703715000003</v>
      </c>
      <c r="BI41" s="52">
        <f t="shared" si="42"/>
        <v>57963.703715000003</v>
      </c>
      <c r="BJ41" s="52">
        <f t="shared" si="42"/>
        <v>57963.703715000003</v>
      </c>
    </row>
    <row r="42" spans="1:62">
      <c r="A42" s="30" t="str">
        <f t="shared" si="36"/>
        <v>Оператор маринования/фасовки</v>
      </c>
      <c r="B42" s="33">
        <v>50000</v>
      </c>
      <c r="C42" s="52">
        <f t="shared" si="37"/>
        <v>50000</v>
      </c>
      <c r="D42" s="52">
        <f t="shared" si="37"/>
        <v>50000</v>
      </c>
      <c r="E42" s="52">
        <f t="shared" si="37"/>
        <v>50000</v>
      </c>
      <c r="F42" s="52">
        <f t="shared" si="37"/>
        <v>50000</v>
      </c>
      <c r="G42" s="52">
        <f t="shared" si="37"/>
        <v>51500</v>
      </c>
      <c r="H42" s="52">
        <f t="shared" si="37"/>
        <v>51500</v>
      </c>
      <c r="I42" s="52">
        <f t="shared" si="37"/>
        <v>51500</v>
      </c>
      <c r="J42" s="52">
        <f t="shared" si="37"/>
        <v>51500</v>
      </c>
      <c r="K42" s="52">
        <f t="shared" si="37"/>
        <v>51500</v>
      </c>
      <c r="L42" s="52">
        <f t="shared" si="37"/>
        <v>51500</v>
      </c>
      <c r="M42" s="52">
        <f t="shared" si="38"/>
        <v>51500</v>
      </c>
      <c r="N42" s="52">
        <f t="shared" si="38"/>
        <v>51500</v>
      </c>
      <c r="O42" s="52">
        <f t="shared" si="38"/>
        <v>51500</v>
      </c>
      <c r="P42" s="52">
        <f t="shared" si="38"/>
        <v>51500</v>
      </c>
      <c r="Q42" s="52">
        <f t="shared" si="38"/>
        <v>51500</v>
      </c>
      <c r="R42" s="52">
        <f t="shared" si="38"/>
        <v>51500</v>
      </c>
      <c r="S42" s="52">
        <f t="shared" si="38"/>
        <v>53045</v>
      </c>
      <c r="T42" s="52">
        <f t="shared" si="38"/>
        <v>53045</v>
      </c>
      <c r="U42" s="52">
        <f t="shared" si="38"/>
        <v>53045</v>
      </c>
      <c r="V42" s="52">
        <f t="shared" si="38"/>
        <v>53045</v>
      </c>
      <c r="W42" s="52">
        <f t="shared" si="39"/>
        <v>53045</v>
      </c>
      <c r="X42" s="52">
        <f t="shared" si="39"/>
        <v>53045</v>
      </c>
      <c r="Y42" s="52">
        <f t="shared" si="39"/>
        <v>53045</v>
      </c>
      <c r="Z42" s="52">
        <f t="shared" si="39"/>
        <v>53045</v>
      </c>
      <c r="AA42" s="52">
        <f t="shared" si="39"/>
        <v>53045</v>
      </c>
      <c r="AB42" s="52">
        <f t="shared" si="39"/>
        <v>53045</v>
      </c>
      <c r="AC42" s="52">
        <f t="shared" si="39"/>
        <v>53045</v>
      </c>
      <c r="AD42" s="52">
        <f t="shared" si="39"/>
        <v>53045</v>
      </c>
      <c r="AE42" s="52">
        <f t="shared" si="39"/>
        <v>54636.35</v>
      </c>
      <c r="AF42" s="52">
        <f t="shared" si="39"/>
        <v>54636.35</v>
      </c>
      <c r="AG42" s="52">
        <f t="shared" si="40"/>
        <v>54636.35</v>
      </c>
      <c r="AH42" s="52">
        <f t="shared" si="40"/>
        <v>54636.35</v>
      </c>
      <c r="AI42" s="52">
        <f t="shared" si="40"/>
        <v>54636.35</v>
      </c>
      <c r="AJ42" s="52">
        <f t="shared" si="40"/>
        <v>54636.35</v>
      </c>
      <c r="AK42" s="52">
        <f t="shared" si="40"/>
        <v>54636.35</v>
      </c>
      <c r="AL42" s="52">
        <f t="shared" si="40"/>
        <v>54636.35</v>
      </c>
      <c r="AM42" s="52">
        <f t="shared" si="40"/>
        <v>54636.35</v>
      </c>
      <c r="AN42" s="52">
        <f t="shared" si="40"/>
        <v>54636.35</v>
      </c>
      <c r="AO42" s="52">
        <f t="shared" si="40"/>
        <v>54636.35</v>
      </c>
      <c r="AP42" s="52">
        <f t="shared" si="40"/>
        <v>54636.35</v>
      </c>
      <c r="AQ42" s="52">
        <f t="shared" si="41"/>
        <v>56275.440500000004</v>
      </c>
      <c r="AR42" s="52">
        <f t="shared" si="41"/>
        <v>56275.440500000004</v>
      </c>
      <c r="AS42" s="52">
        <f t="shared" si="41"/>
        <v>56275.440500000004</v>
      </c>
      <c r="AT42" s="52">
        <f t="shared" si="41"/>
        <v>56275.440500000004</v>
      </c>
      <c r="AU42" s="52">
        <f t="shared" si="41"/>
        <v>56275.440500000004</v>
      </c>
      <c r="AV42" s="52">
        <f t="shared" si="41"/>
        <v>56275.440500000004</v>
      </c>
      <c r="AW42" s="52">
        <f t="shared" si="41"/>
        <v>56275.440500000004</v>
      </c>
      <c r="AX42" s="52">
        <f t="shared" si="41"/>
        <v>56275.440500000004</v>
      </c>
      <c r="AY42" s="52">
        <f t="shared" si="41"/>
        <v>56275.440500000004</v>
      </c>
      <c r="AZ42" s="52">
        <f t="shared" si="41"/>
        <v>56275.440500000004</v>
      </c>
      <c r="BA42" s="52">
        <f t="shared" si="42"/>
        <v>56275.440500000004</v>
      </c>
      <c r="BB42" s="52">
        <f t="shared" si="42"/>
        <v>56275.440500000004</v>
      </c>
      <c r="BC42" s="52">
        <f t="shared" si="42"/>
        <v>57963.703715000003</v>
      </c>
      <c r="BD42" s="52">
        <f t="shared" si="42"/>
        <v>57963.703715000003</v>
      </c>
      <c r="BE42" s="52">
        <f t="shared" si="42"/>
        <v>57963.703715000003</v>
      </c>
      <c r="BF42" s="52">
        <f t="shared" si="42"/>
        <v>57963.703715000003</v>
      </c>
      <c r="BG42" s="52">
        <f t="shared" si="42"/>
        <v>57963.703715000003</v>
      </c>
      <c r="BH42" s="52">
        <f t="shared" si="42"/>
        <v>57963.703715000003</v>
      </c>
      <c r="BI42" s="52">
        <f t="shared" si="42"/>
        <v>57963.703715000003</v>
      </c>
      <c r="BJ42" s="52">
        <f t="shared" si="42"/>
        <v>57963.703715000003</v>
      </c>
    </row>
    <row r="43" spans="1:62">
      <c r="A43" s="30" t="str">
        <f t="shared" si="36"/>
        <v>Водитель погрузчика/кладовщик</v>
      </c>
      <c r="B43" s="33">
        <v>80000</v>
      </c>
      <c r="C43" s="52">
        <f t="shared" si="37"/>
        <v>80000</v>
      </c>
      <c r="D43" s="52">
        <f t="shared" si="37"/>
        <v>80000</v>
      </c>
      <c r="E43" s="52">
        <f t="shared" si="37"/>
        <v>80000</v>
      </c>
      <c r="F43" s="52">
        <f t="shared" si="37"/>
        <v>80000</v>
      </c>
      <c r="G43" s="52">
        <f t="shared" si="37"/>
        <v>82400</v>
      </c>
      <c r="H43" s="52">
        <f t="shared" si="37"/>
        <v>82400</v>
      </c>
      <c r="I43" s="52">
        <f t="shared" si="37"/>
        <v>82400</v>
      </c>
      <c r="J43" s="52">
        <f t="shared" si="37"/>
        <v>82400</v>
      </c>
      <c r="K43" s="52">
        <f t="shared" si="37"/>
        <v>82400</v>
      </c>
      <c r="L43" s="52">
        <f t="shared" si="37"/>
        <v>82400</v>
      </c>
      <c r="M43" s="52">
        <f t="shared" si="38"/>
        <v>82400</v>
      </c>
      <c r="N43" s="52">
        <f t="shared" si="38"/>
        <v>82400</v>
      </c>
      <c r="O43" s="52">
        <f t="shared" si="38"/>
        <v>82400</v>
      </c>
      <c r="P43" s="52">
        <f t="shared" si="38"/>
        <v>82400</v>
      </c>
      <c r="Q43" s="52">
        <f t="shared" si="38"/>
        <v>82400</v>
      </c>
      <c r="R43" s="52">
        <f t="shared" si="38"/>
        <v>82400</v>
      </c>
      <c r="S43" s="52">
        <f t="shared" si="38"/>
        <v>84872</v>
      </c>
      <c r="T43" s="52">
        <f t="shared" si="38"/>
        <v>84872</v>
      </c>
      <c r="U43" s="52">
        <f t="shared" si="38"/>
        <v>84872</v>
      </c>
      <c r="V43" s="52">
        <f t="shared" si="38"/>
        <v>84872</v>
      </c>
      <c r="W43" s="52">
        <f t="shared" si="39"/>
        <v>84872</v>
      </c>
      <c r="X43" s="52">
        <f t="shared" si="39"/>
        <v>84872</v>
      </c>
      <c r="Y43" s="52">
        <f t="shared" si="39"/>
        <v>84872</v>
      </c>
      <c r="Z43" s="52">
        <f t="shared" si="39"/>
        <v>84872</v>
      </c>
      <c r="AA43" s="52">
        <f t="shared" si="39"/>
        <v>84872</v>
      </c>
      <c r="AB43" s="52">
        <f t="shared" si="39"/>
        <v>84872</v>
      </c>
      <c r="AC43" s="52">
        <f t="shared" si="39"/>
        <v>84872</v>
      </c>
      <c r="AD43" s="52">
        <f t="shared" si="39"/>
        <v>84872</v>
      </c>
      <c r="AE43" s="52">
        <f t="shared" si="39"/>
        <v>87418.16</v>
      </c>
      <c r="AF43" s="52">
        <f t="shared" si="39"/>
        <v>87418.16</v>
      </c>
      <c r="AG43" s="52">
        <f t="shared" si="40"/>
        <v>87418.16</v>
      </c>
      <c r="AH43" s="52">
        <f t="shared" si="40"/>
        <v>87418.16</v>
      </c>
      <c r="AI43" s="52">
        <f t="shared" si="40"/>
        <v>87418.16</v>
      </c>
      <c r="AJ43" s="52">
        <f t="shared" si="40"/>
        <v>87418.16</v>
      </c>
      <c r="AK43" s="52">
        <f t="shared" si="40"/>
        <v>87418.16</v>
      </c>
      <c r="AL43" s="52">
        <f t="shared" si="40"/>
        <v>87418.16</v>
      </c>
      <c r="AM43" s="52">
        <f t="shared" si="40"/>
        <v>87418.16</v>
      </c>
      <c r="AN43" s="52">
        <f t="shared" si="40"/>
        <v>87418.16</v>
      </c>
      <c r="AO43" s="52">
        <f t="shared" si="40"/>
        <v>87418.16</v>
      </c>
      <c r="AP43" s="52">
        <f t="shared" si="40"/>
        <v>87418.16</v>
      </c>
      <c r="AQ43" s="52">
        <f t="shared" si="41"/>
        <v>90040.704800000007</v>
      </c>
      <c r="AR43" s="52">
        <f t="shared" si="41"/>
        <v>90040.704800000007</v>
      </c>
      <c r="AS43" s="52">
        <f t="shared" si="41"/>
        <v>90040.704800000007</v>
      </c>
      <c r="AT43" s="52">
        <f t="shared" si="41"/>
        <v>90040.704800000007</v>
      </c>
      <c r="AU43" s="52">
        <f t="shared" si="41"/>
        <v>90040.704800000007</v>
      </c>
      <c r="AV43" s="52">
        <f t="shared" si="41"/>
        <v>90040.704800000007</v>
      </c>
      <c r="AW43" s="52">
        <f t="shared" si="41"/>
        <v>90040.704800000007</v>
      </c>
      <c r="AX43" s="52">
        <f t="shared" si="41"/>
        <v>90040.704800000007</v>
      </c>
      <c r="AY43" s="52">
        <f t="shared" si="41"/>
        <v>90040.704800000007</v>
      </c>
      <c r="AZ43" s="52">
        <f t="shared" si="41"/>
        <v>90040.704800000007</v>
      </c>
      <c r="BA43" s="52">
        <f t="shared" si="42"/>
        <v>90040.704800000007</v>
      </c>
      <c r="BB43" s="52">
        <f t="shared" si="42"/>
        <v>90040.704800000007</v>
      </c>
      <c r="BC43" s="52">
        <f t="shared" si="42"/>
        <v>92741.925944000002</v>
      </c>
      <c r="BD43" s="52">
        <f t="shared" si="42"/>
        <v>92741.925944000002</v>
      </c>
      <c r="BE43" s="52">
        <f t="shared" si="42"/>
        <v>92741.925944000002</v>
      </c>
      <c r="BF43" s="52">
        <f t="shared" si="42"/>
        <v>92741.925944000002</v>
      </c>
      <c r="BG43" s="52">
        <f t="shared" si="42"/>
        <v>92741.925944000002</v>
      </c>
      <c r="BH43" s="52">
        <f t="shared" si="42"/>
        <v>92741.925944000002</v>
      </c>
      <c r="BI43" s="52">
        <f t="shared" si="42"/>
        <v>92741.925944000002</v>
      </c>
      <c r="BJ43" s="52">
        <f t="shared" si="42"/>
        <v>92741.925944000002</v>
      </c>
    </row>
    <row r="44" spans="1:62">
      <c r="A44" s="30" t="str">
        <f t="shared" si="36"/>
        <v>Охранник</v>
      </c>
      <c r="B44" s="33">
        <v>79000</v>
      </c>
      <c r="C44" s="52">
        <f t="shared" si="37"/>
        <v>79000</v>
      </c>
      <c r="D44" s="52">
        <f t="shared" si="37"/>
        <v>79000</v>
      </c>
      <c r="E44" s="52">
        <f t="shared" si="37"/>
        <v>79000</v>
      </c>
      <c r="F44" s="52">
        <f t="shared" si="37"/>
        <v>79000</v>
      </c>
      <c r="G44" s="52">
        <f t="shared" si="37"/>
        <v>81370</v>
      </c>
      <c r="H44" s="52">
        <f t="shared" si="37"/>
        <v>81370</v>
      </c>
      <c r="I44" s="52">
        <f t="shared" si="37"/>
        <v>81370</v>
      </c>
      <c r="J44" s="52">
        <f t="shared" si="37"/>
        <v>81370</v>
      </c>
      <c r="K44" s="52">
        <f t="shared" si="37"/>
        <v>81370</v>
      </c>
      <c r="L44" s="52">
        <f t="shared" si="37"/>
        <v>81370</v>
      </c>
      <c r="M44" s="52">
        <f t="shared" si="38"/>
        <v>81370</v>
      </c>
      <c r="N44" s="52">
        <f t="shared" si="38"/>
        <v>81370</v>
      </c>
      <c r="O44" s="52">
        <f t="shared" si="38"/>
        <v>81370</v>
      </c>
      <c r="P44" s="52">
        <f t="shared" si="38"/>
        <v>81370</v>
      </c>
      <c r="Q44" s="52">
        <f t="shared" si="38"/>
        <v>81370</v>
      </c>
      <c r="R44" s="52">
        <f t="shared" si="38"/>
        <v>81370</v>
      </c>
      <c r="S44" s="52">
        <f t="shared" si="38"/>
        <v>83811.099999999991</v>
      </c>
      <c r="T44" s="52">
        <f t="shared" si="38"/>
        <v>83811.099999999991</v>
      </c>
      <c r="U44" s="52">
        <f t="shared" si="38"/>
        <v>83811.099999999991</v>
      </c>
      <c r="V44" s="52">
        <f t="shared" si="38"/>
        <v>83811.099999999991</v>
      </c>
      <c r="W44" s="52">
        <f t="shared" si="39"/>
        <v>83811.099999999991</v>
      </c>
      <c r="X44" s="52">
        <f t="shared" si="39"/>
        <v>83811.099999999991</v>
      </c>
      <c r="Y44" s="52">
        <f t="shared" si="39"/>
        <v>83811.099999999991</v>
      </c>
      <c r="Z44" s="52">
        <f t="shared" si="39"/>
        <v>83811.099999999991</v>
      </c>
      <c r="AA44" s="52">
        <f t="shared" si="39"/>
        <v>83811.099999999991</v>
      </c>
      <c r="AB44" s="52">
        <f t="shared" si="39"/>
        <v>83811.099999999991</v>
      </c>
      <c r="AC44" s="52">
        <f t="shared" si="39"/>
        <v>83811.099999999991</v>
      </c>
      <c r="AD44" s="52">
        <f t="shared" si="39"/>
        <v>83811.099999999991</v>
      </c>
      <c r="AE44" s="52">
        <f t="shared" si="39"/>
        <v>86325.433000000005</v>
      </c>
      <c r="AF44" s="52">
        <f t="shared" si="39"/>
        <v>86325.433000000005</v>
      </c>
      <c r="AG44" s="52">
        <f t="shared" si="40"/>
        <v>86325.433000000005</v>
      </c>
      <c r="AH44" s="52">
        <f t="shared" si="40"/>
        <v>86325.433000000005</v>
      </c>
      <c r="AI44" s="52">
        <f t="shared" si="40"/>
        <v>86325.433000000005</v>
      </c>
      <c r="AJ44" s="52">
        <f t="shared" si="40"/>
        <v>86325.433000000005</v>
      </c>
      <c r="AK44" s="52">
        <f t="shared" si="40"/>
        <v>86325.433000000005</v>
      </c>
      <c r="AL44" s="52">
        <f t="shared" si="40"/>
        <v>86325.433000000005</v>
      </c>
      <c r="AM44" s="52">
        <f t="shared" si="40"/>
        <v>86325.433000000005</v>
      </c>
      <c r="AN44" s="52">
        <f t="shared" si="40"/>
        <v>86325.433000000005</v>
      </c>
      <c r="AO44" s="52">
        <f t="shared" si="40"/>
        <v>86325.433000000005</v>
      </c>
      <c r="AP44" s="52">
        <f t="shared" si="40"/>
        <v>86325.433000000005</v>
      </c>
      <c r="AQ44" s="52">
        <f t="shared" si="41"/>
        <v>88915.195990000007</v>
      </c>
      <c r="AR44" s="52">
        <f t="shared" si="41"/>
        <v>88915.195990000007</v>
      </c>
      <c r="AS44" s="52">
        <f t="shared" si="41"/>
        <v>88915.195990000007</v>
      </c>
      <c r="AT44" s="52">
        <f t="shared" si="41"/>
        <v>88915.195990000007</v>
      </c>
      <c r="AU44" s="52">
        <f t="shared" si="41"/>
        <v>88915.195990000007</v>
      </c>
      <c r="AV44" s="52">
        <f t="shared" si="41"/>
        <v>88915.195990000007</v>
      </c>
      <c r="AW44" s="52">
        <f t="shared" si="41"/>
        <v>88915.195990000007</v>
      </c>
      <c r="AX44" s="52">
        <f t="shared" si="41"/>
        <v>88915.195990000007</v>
      </c>
      <c r="AY44" s="52">
        <f t="shared" si="41"/>
        <v>88915.195990000007</v>
      </c>
      <c r="AZ44" s="52">
        <f t="shared" si="41"/>
        <v>88915.195990000007</v>
      </c>
      <c r="BA44" s="52">
        <f t="shared" si="42"/>
        <v>88915.195990000007</v>
      </c>
      <c r="BB44" s="52">
        <f t="shared" si="42"/>
        <v>88915.195990000007</v>
      </c>
      <c r="BC44" s="52">
        <f t="shared" si="42"/>
        <v>91582.651869699999</v>
      </c>
      <c r="BD44" s="52">
        <f t="shared" si="42"/>
        <v>91582.651869699999</v>
      </c>
      <c r="BE44" s="52">
        <f t="shared" si="42"/>
        <v>91582.651869699999</v>
      </c>
      <c r="BF44" s="52">
        <f t="shared" si="42"/>
        <v>91582.651869699999</v>
      </c>
      <c r="BG44" s="52">
        <f t="shared" si="42"/>
        <v>91582.651869699999</v>
      </c>
      <c r="BH44" s="52">
        <f t="shared" si="42"/>
        <v>91582.651869699999</v>
      </c>
      <c r="BI44" s="52">
        <f t="shared" si="42"/>
        <v>91582.651869699999</v>
      </c>
      <c r="BJ44" s="52">
        <f t="shared" si="42"/>
        <v>91582.651869699999</v>
      </c>
    </row>
    <row r="45" spans="1:62">
      <c r="A45" s="30" t="str">
        <f t="shared" si="36"/>
        <v>Уборщик</v>
      </c>
      <c r="B45" s="33">
        <v>35000</v>
      </c>
      <c r="C45" s="52">
        <f t="shared" si="37"/>
        <v>35000</v>
      </c>
      <c r="D45" s="52">
        <f t="shared" si="37"/>
        <v>35000</v>
      </c>
      <c r="E45" s="52">
        <f t="shared" si="37"/>
        <v>35000</v>
      </c>
      <c r="F45" s="52">
        <f t="shared" si="37"/>
        <v>35000</v>
      </c>
      <c r="G45" s="52">
        <f t="shared" si="37"/>
        <v>36050</v>
      </c>
      <c r="H45" s="52">
        <f t="shared" si="37"/>
        <v>36050</v>
      </c>
      <c r="I45" s="52">
        <f t="shared" si="37"/>
        <v>36050</v>
      </c>
      <c r="J45" s="52">
        <f t="shared" si="37"/>
        <v>36050</v>
      </c>
      <c r="K45" s="52">
        <f t="shared" si="37"/>
        <v>36050</v>
      </c>
      <c r="L45" s="52">
        <f t="shared" si="37"/>
        <v>36050</v>
      </c>
      <c r="M45" s="52">
        <f t="shared" si="38"/>
        <v>36050</v>
      </c>
      <c r="N45" s="52">
        <f t="shared" si="38"/>
        <v>36050</v>
      </c>
      <c r="O45" s="52">
        <f t="shared" si="38"/>
        <v>36050</v>
      </c>
      <c r="P45" s="52">
        <f t="shared" si="38"/>
        <v>36050</v>
      </c>
      <c r="Q45" s="52">
        <f t="shared" si="38"/>
        <v>36050</v>
      </c>
      <c r="R45" s="52">
        <f t="shared" si="38"/>
        <v>36050</v>
      </c>
      <c r="S45" s="52">
        <f t="shared" si="38"/>
        <v>37131.5</v>
      </c>
      <c r="T45" s="52">
        <f t="shared" si="38"/>
        <v>37131.5</v>
      </c>
      <c r="U45" s="52">
        <f t="shared" si="38"/>
        <v>37131.5</v>
      </c>
      <c r="V45" s="52">
        <f t="shared" si="38"/>
        <v>37131.5</v>
      </c>
      <c r="W45" s="52">
        <f t="shared" si="39"/>
        <v>37131.5</v>
      </c>
      <c r="X45" s="52">
        <f t="shared" si="39"/>
        <v>37131.5</v>
      </c>
      <c r="Y45" s="52">
        <f t="shared" si="39"/>
        <v>37131.5</v>
      </c>
      <c r="Z45" s="52">
        <f t="shared" si="39"/>
        <v>37131.5</v>
      </c>
      <c r="AA45" s="52">
        <f t="shared" si="39"/>
        <v>37131.5</v>
      </c>
      <c r="AB45" s="52">
        <f t="shared" si="39"/>
        <v>37131.5</v>
      </c>
      <c r="AC45" s="52">
        <f t="shared" si="39"/>
        <v>37131.5</v>
      </c>
      <c r="AD45" s="52">
        <f t="shared" si="39"/>
        <v>37131.5</v>
      </c>
      <c r="AE45" s="52">
        <f t="shared" si="39"/>
        <v>38245.445</v>
      </c>
      <c r="AF45" s="52">
        <f t="shared" si="39"/>
        <v>38245.445</v>
      </c>
      <c r="AG45" s="52">
        <f t="shared" si="40"/>
        <v>38245.445</v>
      </c>
      <c r="AH45" s="52">
        <f t="shared" si="40"/>
        <v>38245.445</v>
      </c>
      <c r="AI45" s="52">
        <f t="shared" si="40"/>
        <v>38245.445</v>
      </c>
      <c r="AJ45" s="52">
        <f t="shared" si="40"/>
        <v>38245.445</v>
      </c>
      <c r="AK45" s="52">
        <f t="shared" si="40"/>
        <v>38245.445</v>
      </c>
      <c r="AL45" s="52">
        <f t="shared" si="40"/>
        <v>38245.445</v>
      </c>
      <c r="AM45" s="52">
        <f t="shared" si="40"/>
        <v>38245.445</v>
      </c>
      <c r="AN45" s="52">
        <f t="shared" si="40"/>
        <v>38245.445</v>
      </c>
      <c r="AO45" s="52">
        <f t="shared" si="40"/>
        <v>38245.445</v>
      </c>
      <c r="AP45" s="52">
        <f t="shared" si="40"/>
        <v>38245.445</v>
      </c>
      <c r="AQ45" s="52">
        <f t="shared" si="41"/>
        <v>39392.808350000007</v>
      </c>
      <c r="AR45" s="52">
        <f t="shared" si="41"/>
        <v>39392.808350000007</v>
      </c>
      <c r="AS45" s="52">
        <f t="shared" si="41"/>
        <v>39392.808350000007</v>
      </c>
      <c r="AT45" s="52">
        <f t="shared" si="41"/>
        <v>39392.808350000007</v>
      </c>
      <c r="AU45" s="52">
        <f t="shared" si="41"/>
        <v>39392.808350000007</v>
      </c>
      <c r="AV45" s="52">
        <f t="shared" si="41"/>
        <v>39392.808350000007</v>
      </c>
      <c r="AW45" s="52">
        <f t="shared" si="41"/>
        <v>39392.808350000007</v>
      </c>
      <c r="AX45" s="52">
        <f t="shared" si="41"/>
        <v>39392.808350000007</v>
      </c>
      <c r="AY45" s="52">
        <f t="shared" si="41"/>
        <v>39392.808350000007</v>
      </c>
      <c r="AZ45" s="52">
        <f t="shared" si="41"/>
        <v>39392.808350000007</v>
      </c>
      <c r="BA45" s="52">
        <f t="shared" si="42"/>
        <v>39392.808350000007</v>
      </c>
      <c r="BB45" s="52">
        <f t="shared" si="42"/>
        <v>39392.808350000007</v>
      </c>
      <c r="BC45" s="52">
        <f t="shared" si="42"/>
        <v>40574.5926005</v>
      </c>
      <c r="BD45" s="52">
        <f t="shared" si="42"/>
        <v>40574.5926005</v>
      </c>
      <c r="BE45" s="52">
        <f t="shared" si="42"/>
        <v>40574.5926005</v>
      </c>
      <c r="BF45" s="52">
        <f t="shared" si="42"/>
        <v>40574.5926005</v>
      </c>
      <c r="BG45" s="52">
        <f t="shared" si="42"/>
        <v>40574.5926005</v>
      </c>
      <c r="BH45" s="52">
        <f t="shared" si="42"/>
        <v>40574.5926005</v>
      </c>
      <c r="BI45" s="52">
        <f t="shared" si="42"/>
        <v>40574.5926005</v>
      </c>
      <c r="BJ45" s="52">
        <f t="shared" si="42"/>
        <v>40574.5926005</v>
      </c>
    </row>
    <row r="46" spans="1:62">
      <c r="A46" s="34" t="str">
        <f t="shared" ref="A46:A48" si="43">A128</f>
        <v>Коммерческий персонал</v>
      </c>
      <c r="B46" s="142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  <c r="V46" s="143"/>
      <c r="W46" s="143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  <c r="AO46" s="143"/>
      <c r="AP46" s="143"/>
      <c r="AQ46" s="143"/>
      <c r="AR46" s="143"/>
      <c r="AS46" s="143"/>
      <c r="AT46" s="143"/>
      <c r="AU46" s="143"/>
      <c r="AV46" s="143"/>
      <c r="AW46" s="143"/>
      <c r="AX46" s="143"/>
      <c r="AY46" s="143"/>
      <c r="AZ46" s="143"/>
      <c r="BA46" s="143"/>
      <c r="BB46" s="143"/>
      <c r="BC46" s="143"/>
      <c r="BD46" s="143"/>
      <c r="BE46" s="143"/>
      <c r="BF46" s="143"/>
      <c r="BG46" s="143"/>
      <c r="BH46" s="143"/>
      <c r="BI46" s="143"/>
      <c r="BJ46" s="143"/>
    </row>
    <row r="47" spans="1:62">
      <c r="A47" s="30" t="str">
        <f t="shared" si="43"/>
        <v>Менеджер по продажам</v>
      </c>
      <c r="B47" s="33">
        <v>73000</v>
      </c>
      <c r="C47" s="52">
        <f t="shared" ref="C47:L49" si="44">$B47*C$113</f>
        <v>73000</v>
      </c>
      <c r="D47" s="52">
        <f t="shared" si="44"/>
        <v>73000</v>
      </c>
      <c r="E47" s="52">
        <f t="shared" si="44"/>
        <v>73000</v>
      </c>
      <c r="F47" s="52">
        <f t="shared" si="44"/>
        <v>73000</v>
      </c>
      <c r="G47" s="52">
        <f t="shared" si="44"/>
        <v>75190</v>
      </c>
      <c r="H47" s="52">
        <f t="shared" si="44"/>
        <v>75190</v>
      </c>
      <c r="I47" s="52">
        <f t="shared" si="44"/>
        <v>75190</v>
      </c>
      <c r="J47" s="52">
        <f t="shared" si="44"/>
        <v>75190</v>
      </c>
      <c r="K47" s="52">
        <f t="shared" si="44"/>
        <v>75190</v>
      </c>
      <c r="L47" s="52">
        <f t="shared" si="44"/>
        <v>75190</v>
      </c>
      <c r="M47" s="52">
        <f t="shared" ref="M47:V49" si="45">$B47*M$113</f>
        <v>75190</v>
      </c>
      <c r="N47" s="52">
        <f t="shared" si="45"/>
        <v>75190</v>
      </c>
      <c r="O47" s="52">
        <f t="shared" si="45"/>
        <v>75190</v>
      </c>
      <c r="P47" s="52">
        <f t="shared" si="45"/>
        <v>75190</v>
      </c>
      <c r="Q47" s="52">
        <f t="shared" si="45"/>
        <v>75190</v>
      </c>
      <c r="R47" s="52">
        <f t="shared" si="45"/>
        <v>75190</v>
      </c>
      <c r="S47" s="52">
        <f t="shared" si="45"/>
        <v>77445.7</v>
      </c>
      <c r="T47" s="52">
        <f t="shared" si="45"/>
        <v>77445.7</v>
      </c>
      <c r="U47" s="52">
        <f t="shared" si="45"/>
        <v>77445.7</v>
      </c>
      <c r="V47" s="52">
        <f t="shared" si="45"/>
        <v>77445.7</v>
      </c>
      <c r="W47" s="52">
        <f t="shared" ref="W47:AF49" si="46">$B47*W$113</f>
        <v>77445.7</v>
      </c>
      <c r="X47" s="52">
        <f t="shared" si="46"/>
        <v>77445.7</v>
      </c>
      <c r="Y47" s="52">
        <f t="shared" si="46"/>
        <v>77445.7</v>
      </c>
      <c r="Z47" s="52">
        <f t="shared" si="46"/>
        <v>77445.7</v>
      </c>
      <c r="AA47" s="52">
        <f t="shared" si="46"/>
        <v>77445.7</v>
      </c>
      <c r="AB47" s="52">
        <f t="shared" si="46"/>
        <v>77445.7</v>
      </c>
      <c r="AC47" s="52">
        <f t="shared" si="46"/>
        <v>77445.7</v>
      </c>
      <c r="AD47" s="52">
        <f t="shared" si="46"/>
        <v>77445.7</v>
      </c>
      <c r="AE47" s="52">
        <f t="shared" si="46"/>
        <v>79769.070999999996</v>
      </c>
      <c r="AF47" s="52">
        <f t="shared" si="46"/>
        <v>79769.070999999996</v>
      </c>
      <c r="AG47" s="52">
        <f t="shared" ref="AG47:AP49" si="47">$B47*AG$113</f>
        <v>79769.070999999996</v>
      </c>
      <c r="AH47" s="52">
        <f t="shared" si="47"/>
        <v>79769.070999999996</v>
      </c>
      <c r="AI47" s="52">
        <f t="shared" si="47"/>
        <v>79769.070999999996</v>
      </c>
      <c r="AJ47" s="52">
        <f t="shared" si="47"/>
        <v>79769.070999999996</v>
      </c>
      <c r="AK47" s="52">
        <f t="shared" si="47"/>
        <v>79769.070999999996</v>
      </c>
      <c r="AL47" s="52">
        <f t="shared" si="47"/>
        <v>79769.070999999996</v>
      </c>
      <c r="AM47" s="52">
        <f t="shared" si="47"/>
        <v>79769.070999999996</v>
      </c>
      <c r="AN47" s="52">
        <f t="shared" si="47"/>
        <v>79769.070999999996</v>
      </c>
      <c r="AO47" s="52">
        <f t="shared" si="47"/>
        <v>79769.070999999996</v>
      </c>
      <c r="AP47" s="52">
        <f t="shared" si="47"/>
        <v>79769.070999999996</v>
      </c>
      <c r="AQ47" s="52">
        <f t="shared" ref="AQ47:AZ49" si="48">$B47*AQ$113</f>
        <v>82162.143130000011</v>
      </c>
      <c r="AR47" s="52">
        <f t="shared" si="48"/>
        <v>82162.143130000011</v>
      </c>
      <c r="AS47" s="52">
        <f t="shared" si="48"/>
        <v>82162.143130000011</v>
      </c>
      <c r="AT47" s="52">
        <f t="shared" si="48"/>
        <v>82162.143130000011</v>
      </c>
      <c r="AU47" s="52">
        <f t="shared" si="48"/>
        <v>82162.143130000011</v>
      </c>
      <c r="AV47" s="52">
        <f t="shared" si="48"/>
        <v>82162.143130000011</v>
      </c>
      <c r="AW47" s="52">
        <f t="shared" si="48"/>
        <v>82162.143130000011</v>
      </c>
      <c r="AX47" s="52">
        <f t="shared" si="48"/>
        <v>82162.143130000011</v>
      </c>
      <c r="AY47" s="52">
        <f t="shared" si="48"/>
        <v>82162.143130000011</v>
      </c>
      <c r="AZ47" s="52">
        <f t="shared" si="48"/>
        <v>82162.143130000011</v>
      </c>
      <c r="BA47" s="52">
        <f t="shared" ref="BA47:BJ49" si="49">$B47*BA$113</f>
        <v>82162.143130000011</v>
      </c>
      <c r="BB47" s="52">
        <f t="shared" si="49"/>
        <v>82162.143130000011</v>
      </c>
      <c r="BC47" s="52">
        <f t="shared" si="49"/>
        <v>84627.00742390001</v>
      </c>
      <c r="BD47" s="52">
        <f t="shared" si="49"/>
        <v>84627.00742390001</v>
      </c>
      <c r="BE47" s="52">
        <f t="shared" si="49"/>
        <v>84627.00742390001</v>
      </c>
      <c r="BF47" s="52">
        <f t="shared" si="49"/>
        <v>84627.00742390001</v>
      </c>
      <c r="BG47" s="52">
        <f t="shared" si="49"/>
        <v>84627.00742390001</v>
      </c>
      <c r="BH47" s="52">
        <f t="shared" si="49"/>
        <v>84627.00742390001</v>
      </c>
      <c r="BI47" s="52">
        <f t="shared" si="49"/>
        <v>84627.00742390001</v>
      </c>
      <c r="BJ47" s="52">
        <f t="shared" si="49"/>
        <v>84627.00742390001</v>
      </c>
    </row>
    <row r="48" spans="1:62">
      <c r="A48" s="30" t="str">
        <f t="shared" si="43"/>
        <v>Менеджер по закупкам</v>
      </c>
      <c r="B48" s="33">
        <v>70000</v>
      </c>
      <c r="C48" s="52">
        <f t="shared" si="44"/>
        <v>70000</v>
      </c>
      <c r="D48" s="52">
        <f t="shared" si="44"/>
        <v>70000</v>
      </c>
      <c r="E48" s="52">
        <f t="shared" si="44"/>
        <v>70000</v>
      </c>
      <c r="F48" s="52">
        <f t="shared" si="44"/>
        <v>70000</v>
      </c>
      <c r="G48" s="52">
        <f t="shared" si="44"/>
        <v>72100</v>
      </c>
      <c r="H48" s="52">
        <f t="shared" si="44"/>
        <v>72100</v>
      </c>
      <c r="I48" s="52">
        <f t="shared" si="44"/>
        <v>72100</v>
      </c>
      <c r="J48" s="52">
        <f t="shared" si="44"/>
        <v>72100</v>
      </c>
      <c r="K48" s="52">
        <f t="shared" si="44"/>
        <v>72100</v>
      </c>
      <c r="L48" s="52">
        <f t="shared" si="44"/>
        <v>72100</v>
      </c>
      <c r="M48" s="52">
        <f t="shared" si="45"/>
        <v>72100</v>
      </c>
      <c r="N48" s="52">
        <f t="shared" si="45"/>
        <v>72100</v>
      </c>
      <c r="O48" s="52">
        <f t="shared" si="45"/>
        <v>72100</v>
      </c>
      <c r="P48" s="52">
        <f t="shared" si="45"/>
        <v>72100</v>
      </c>
      <c r="Q48" s="52">
        <f t="shared" si="45"/>
        <v>72100</v>
      </c>
      <c r="R48" s="52">
        <f t="shared" si="45"/>
        <v>72100</v>
      </c>
      <c r="S48" s="52">
        <f t="shared" si="45"/>
        <v>74263</v>
      </c>
      <c r="T48" s="52">
        <f t="shared" si="45"/>
        <v>74263</v>
      </c>
      <c r="U48" s="52">
        <f t="shared" si="45"/>
        <v>74263</v>
      </c>
      <c r="V48" s="52">
        <f t="shared" si="45"/>
        <v>74263</v>
      </c>
      <c r="W48" s="52">
        <f t="shared" si="46"/>
        <v>74263</v>
      </c>
      <c r="X48" s="52">
        <f t="shared" si="46"/>
        <v>74263</v>
      </c>
      <c r="Y48" s="52">
        <f t="shared" si="46"/>
        <v>74263</v>
      </c>
      <c r="Z48" s="52">
        <f t="shared" si="46"/>
        <v>74263</v>
      </c>
      <c r="AA48" s="52">
        <f t="shared" si="46"/>
        <v>74263</v>
      </c>
      <c r="AB48" s="52">
        <f t="shared" si="46"/>
        <v>74263</v>
      </c>
      <c r="AC48" s="52">
        <f t="shared" si="46"/>
        <v>74263</v>
      </c>
      <c r="AD48" s="52">
        <f t="shared" si="46"/>
        <v>74263</v>
      </c>
      <c r="AE48" s="52">
        <f t="shared" si="46"/>
        <v>76490.89</v>
      </c>
      <c r="AF48" s="52">
        <f t="shared" si="46"/>
        <v>76490.89</v>
      </c>
      <c r="AG48" s="52">
        <f t="shared" si="47"/>
        <v>76490.89</v>
      </c>
      <c r="AH48" s="52">
        <f t="shared" si="47"/>
        <v>76490.89</v>
      </c>
      <c r="AI48" s="52">
        <f t="shared" si="47"/>
        <v>76490.89</v>
      </c>
      <c r="AJ48" s="52">
        <f t="shared" si="47"/>
        <v>76490.89</v>
      </c>
      <c r="AK48" s="52">
        <f t="shared" si="47"/>
        <v>76490.89</v>
      </c>
      <c r="AL48" s="52">
        <f t="shared" si="47"/>
        <v>76490.89</v>
      </c>
      <c r="AM48" s="52">
        <f t="shared" si="47"/>
        <v>76490.89</v>
      </c>
      <c r="AN48" s="52">
        <f t="shared" si="47"/>
        <v>76490.89</v>
      </c>
      <c r="AO48" s="52">
        <f t="shared" si="47"/>
        <v>76490.89</v>
      </c>
      <c r="AP48" s="52">
        <f t="shared" si="47"/>
        <v>76490.89</v>
      </c>
      <c r="AQ48" s="52">
        <f t="shared" si="48"/>
        <v>78785.616700000013</v>
      </c>
      <c r="AR48" s="52">
        <f t="shared" si="48"/>
        <v>78785.616700000013</v>
      </c>
      <c r="AS48" s="52">
        <f t="shared" si="48"/>
        <v>78785.616700000013</v>
      </c>
      <c r="AT48" s="52">
        <f t="shared" si="48"/>
        <v>78785.616700000013</v>
      </c>
      <c r="AU48" s="52">
        <f t="shared" si="48"/>
        <v>78785.616700000013</v>
      </c>
      <c r="AV48" s="52">
        <f t="shared" si="48"/>
        <v>78785.616700000013</v>
      </c>
      <c r="AW48" s="52">
        <f t="shared" si="48"/>
        <v>78785.616700000013</v>
      </c>
      <c r="AX48" s="52">
        <f t="shared" si="48"/>
        <v>78785.616700000013</v>
      </c>
      <c r="AY48" s="52">
        <f t="shared" si="48"/>
        <v>78785.616700000013</v>
      </c>
      <c r="AZ48" s="52">
        <f t="shared" si="48"/>
        <v>78785.616700000013</v>
      </c>
      <c r="BA48" s="52">
        <f t="shared" si="49"/>
        <v>78785.616700000013</v>
      </c>
      <c r="BB48" s="52">
        <f t="shared" si="49"/>
        <v>78785.616700000013</v>
      </c>
      <c r="BC48" s="52">
        <f t="shared" si="49"/>
        <v>81149.185201</v>
      </c>
      <c r="BD48" s="52">
        <f t="shared" si="49"/>
        <v>81149.185201</v>
      </c>
      <c r="BE48" s="52">
        <f t="shared" si="49"/>
        <v>81149.185201</v>
      </c>
      <c r="BF48" s="52">
        <f t="shared" si="49"/>
        <v>81149.185201</v>
      </c>
      <c r="BG48" s="52">
        <f t="shared" si="49"/>
        <v>81149.185201</v>
      </c>
      <c r="BH48" s="52">
        <f t="shared" si="49"/>
        <v>81149.185201</v>
      </c>
      <c r="BI48" s="52">
        <f t="shared" si="49"/>
        <v>81149.185201</v>
      </c>
      <c r="BJ48" s="52">
        <f t="shared" si="49"/>
        <v>81149.185201</v>
      </c>
    </row>
    <row r="49" spans="1:69">
      <c r="A49" s="30"/>
      <c r="B49" s="33"/>
      <c r="C49" s="52">
        <f t="shared" si="44"/>
        <v>0</v>
      </c>
      <c r="D49" s="52">
        <f t="shared" si="44"/>
        <v>0</v>
      </c>
      <c r="E49" s="52">
        <f t="shared" si="44"/>
        <v>0</v>
      </c>
      <c r="F49" s="52">
        <f t="shared" si="44"/>
        <v>0</v>
      </c>
      <c r="G49" s="52">
        <f t="shared" si="44"/>
        <v>0</v>
      </c>
      <c r="H49" s="52">
        <f t="shared" si="44"/>
        <v>0</v>
      </c>
      <c r="I49" s="52">
        <f t="shared" si="44"/>
        <v>0</v>
      </c>
      <c r="J49" s="52">
        <f t="shared" si="44"/>
        <v>0</v>
      </c>
      <c r="K49" s="52">
        <f t="shared" si="44"/>
        <v>0</v>
      </c>
      <c r="L49" s="52">
        <f t="shared" si="44"/>
        <v>0</v>
      </c>
      <c r="M49" s="52">
        <f t="shared" si="45"/>
        <v>0</v>
      </c>
      <c r="N49" s="52">
        <f t="shared" si="45"/>
        <v>0</v>
      </c>
      <c r="O49" s="52">
        <f t="shared" si="45"/>
        <v>0</v>
      </c>
      <c r="P49" s="52">
        <f t="shared" si="45"/>
        <v>0</v>
      </c>
      <c r="Q49" s="52">
        <f t="shared" si="45"/>
        <v>0</v>
      </c>
      <c r="R49" s="52">
        <f t="shared" si="45"/>
        <v>0</v>
      </c>
      <c r="S49" s="52">
        <f t="shared" si="45"/>
        <v>0</v>
      </c>
      <c r="T49" s="52">
        <f t="shared" si="45"/>
        <v>0</v>
      </c>
      <c r="U49" s="52">
        <f t="shared" si="45"/>
        <v>0</v>
      </c>
      <c r="V49" s="52">
        <f t="shared" si="45"/>
        <v>0</v>
      </c>
      <c r="W49" s="52">
        <f t="shared" si="46"/>
        <v>0</v>
      </c>
      <c r="X49" s="52">
        <f t="shared" si="46"/>
        <v>0</v>
      </c>
      <c r="Y49" s="52">
        <f t="shared" si="46"/>
        <v>0</v>
      </c>
      <c r="Z49" s="52">
        <f t="shared" si="46"/>
        <v>0</v>
      </c>
      <c r="AA49" s="52">
        <f t="shared" si="46"/>
        <v>0</v>
      </c>
      <c r="AB49" s="52">
        <f t="shared" si="46"/>
        <v>0</v>
      </c>
      <c r="AC49" s="52">
        <f t="shared" si="46"/>
        <v>0</v>
      </c>
      <c r="AD49" s="52">
        <f t="shared" si="46"/>
        <v>0</v>
      </c>
      <c r="AE49" s="52">
        <f t="shared" si="46"/>
        <v>0</v>
      </c>
      <c r="AF49" s="52">
        <f t="shared" si="46"/>
        <v>0</v>
      </c>
      <c r="AG49" s="52">
        <f t="shared" si="47"/>
        <v>0</v>
      </c>
      <c r="AH49" s="52">
        <f t="shared" si="47"/>
        <v>0</v>
      </c>
      <c r="AI49" s="52">
        <f t="shared" si="47"/>
        <v>0</v>
      </c>
      <c r="AJ49" s="52">
        <f t="shared" si="47"/>
        <v>0</v>
      </c>
      <c r="AK49" s="52">
        <f t="shared" si="47"/>
        <v>0</v>
      </c>
      <c r="AL49" s="52">
        <f t="shared" si="47"/>
        <v>0</v>
      </c>
      <c r="AM49" s="52">
        <f t="shared" si="47"/>
        <v>0</v>
      </c>
      <c r="AN49" s="52">
        <f t="shared" si="47"/>
        <v>0</v>
      </c>
      <c r="AO49" s="52">
        <f t="shared" si="47"/>
        <v>0</v>
      </c>
      <c r="AP49" s="52">
        <f t="shared" si="47"/>
        <v>0</v>
      </c>
      <c r="AQ49" s="52">
        <f t="shared" si="48"/>
        <v>0</v>
      </c>
      <c r="AR49" s="52">
        <f t="shared" si="48"/>
        <v>0</v>
      </c>
      <c r="AS49" s="52">
        <f t="shared" si="48"/>
        <v>0</v>
      </c>
      <c r="AT49" s="52">
        <f t="shared" si="48"/>
        <v>0</v>
      </c>
      <c r="AU49" s="52">
        <f t="shared" si="48"/>
        <v>0</v>
      </c>
      <c r="AV49" s="52">
        <f t="shared" si="48"/>
        <v>0</v>
      </c>
      <c r="AW49" s="52">
        <f t="shared" si="48"/>
        <v>0</v>
      </c>
      <c r="AX49" s="52">
        <f t="shared" si="48"/>
        <v>0</v>
      </c>
      <c r="AY49" s="52">
        <f t="shared" si="48"/>
        <v>0</v>
      </c>
      <c r="AZ49" s="52">
        <f t="shared" si="48"/>
        <v>0</v>
      </c>
      <c r="BA49" s="52">
        <f t="shared" si="49"/>
        <v>0</v>
      </c>
      <c r="BB49" s="52">
        <f t="shared" si="49"/>
        <v>0</v>
      </c>
      <c r="BC49" s="52">
        <f t="shared" si="49"/>
        <v>0</v>
      </c>
      <c r="BD49" s="52">
        <f t="shared" si="49"/>
        <v>0</v>
      </c>
      <c r="BE49" s="52">
        <f t="shared" si="49"/>
        <v>0</v>
      </c>
      <c r="BF49" s="52">
        <f t="shared" si="49"/>
        <v>0</v>
      </c>
      <c r="BG49" s="52">
        <f t="shared" si="49"/>
        <v>0</v>
      </c>
      <c r="BH49" s="52">
        <f t="shared" si="49"/>
        <v>0</v>
      </c>
      <c r="BI49" s="52">
        <f t="shared" si="49"/>
        <v>0</v>
      </c>
      <c r="BJ49" s="52">
        <f t="shared" si="49"/>
        <v>0</v>
      </c>
    </row>
    <row r="50" spans="1:69">
      <c r="A50" s="34" t="str">
        <f t="shared" ref="A50:A57" si="50">A132</f>
        <v>Административный персонал</v>
      </c>
      <c r="B50" s="142"/>
      <c r="C50" s="143"/>
      <c r="D50" s="143"/>
      <c r="E50" s="143"/>
      <c r="F50" s="143"/>
      <c r="G50" s="143"/>
      <c r="H50" s="143"/>
      <c r="I50" s="143"/>
      <c r="J50" s="143"/>
      <c r="K50" s="143"/>
      <c r="L50" s="143"/>
      <c r="M50" s="143"/>
      <c r="N50" s="143"/>
      <c r="O50" s="143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  <c r="AF50" s="143"/>
      <c r="AG50" s="143"/>
      <c r="AH50" s="143"/>
      <c r="AI50" s="143"/>
      <c r="AJ50" s="143"/>
      <c r="AK50" s="143"/>
      <c r="AL50" s="143"/>
      <c r="AM50" s="143"/>
      <c r="AN50" s="143"/>
      <c r="AO50" s="143"/>
      <c r="AP50" s="143"/>
      <c r="AQ50" s="143"/>
      <c r="AR50" s="143"/>
      <c r="AS50" s="143"/>
      <c r="AT50" s="143"/>
      <c r="AU50" s="143"/>
      <c r="AV50" s="143"/>
      <c r="AW50" s="143"/>
      <c r="AX50" s="143"/>
      <c r="AY50" s="143"/>
      <c r="AZ50" s="143"/>
      <c r="BA50" s="143"/>
      <c r="BB50" s="143"/>
      <c r="BC50" s="143"/>
      <c r="BD50" s="143"/>
      <c r="BE50" s="143"/>
      <c r="BF50" s="143"/>
      <c r="BG50" s="143"/>
      <c r="BH50" s="143"/>
      <c r="BI50" s="143"/>
      <c r="BJ50" s="143"/>
    </row>
    <row r="51" spans="1:69">
      <c r="A51" s="30" t="str">
        <f t="shared" si="50"/>
        <v>Директор</v>
      </c>
      <c r="B51" s="33">
        <v>154000</v>
      </c>
      <c r="C51" s="52">
        <f t="shared" ref="C51:L57" si="51">$B51*C$113</f>
        <v>154000</v>
      </c>
      <c r="D51" s="52">
        <f t="shared" si="51"/>
        <v>154000</v>
      </c>
      <c r="E51" s="52">
        <f t="shared" si="51"/>
        <v>154000</v>
      </c>
      <c r="F51" s="52">
        <f t="shared" si="51"/>
        <v>154000</v>
      </c>
      <c r="G51" s="52">
        <f t="shared" si="51"/>
        <v>158620</v>
      </c>
      <c r="H51" s="52">
        <f t="shared" si="51"/>
        <v>158620</v>
      </c>
      <c r="I51" s="52">
        <f t="shared" si="51"/>
        <v>158620</v>
      </c>
      <c r="J51" s="52">
        <f t="shared" si="51"/>
        <v>158620</v>
      </c>
      <c r="K51" s="52">
        <f t="shared" si="51"/>
        <v>158620</v>
      </c>
      <c r="L51" s="52">
        <f t="shared" si="51"/>
        <v>158620</v>
      </c>
      <c r="M51" s="52">
        <f t="shared" ref="M51:V57" si="52">$B51*M$113</f>
        <v>158620</v>
      </c>
      <c r="N51" s="52">
        <f t="shared" si="52"/>
        <v>158620</v>
      </c>
      <c r="O51" s="52">
        <f t="shared" si="52"/>
        <v>158620</v>
      </c>
      <c r="P51" s="52">
        <f t="shared" si="52"/>
        <v>158620</v>
      </c>
      <c r="Q51" s="52">
        <f t="shared" si="52"/>
        <v>158620</v>
      </c>
      <c r="R51" s="52">
        <f t="shared" si="52"/>
        <v>158620</v>
      </c>
      <c r="S51" s="52">
        <f t="shared" si="52"/>
        <v>163378.6</v>
      </c>
      <c r="T51" s="52">
        <f t="shared" si="52"/>
        <v>163378.6</v>
      </c>
      <c r="U51" s="52">
        <f t="shared" si="52"/>
        <v>163378.6</v>
      </c>
      <c r="V51" s="52">
        <f t="shared" si="52"/>
        <v>163378.6</v>
      </c>
      <c r="W51" s="52">
        <f t="shared" ref="W51:AF57" si="53">$B51*W$113</f>
        <v>163378.6</v>
      </c>
      <c r="X51" s="52">
        <f t="shared" si="53"/>
        <v>163378.6</v>
      </c>
      <c r="Y51" s="52">
        <f t="shared" si="53"/>
        <v>163378.6</v>
      </c>
      <c r="Z51" s="52">
        <f t="shared" si="53"/>
        <v>163378.6</v>
      </c>
      <c r="AA51" s="52">
        <f t="shared" si="53"/>
        <v>163378.6</v>
      </c>
      <c r="AB51" s="52">
        <f t="shared" si="53"/>
        <v>163378.6</v>
      </c>
      <c r="AC51" s="52">
        <f t="shared" si="53"/>
        <v>163378.6</v>
      </c>
      <c r="AD51" s="52">
        <f t="shared" si="53"/>
        <v>163378.6</v>
      </c>
      <c r="AE51" s="52">
        <f t="shared" si="53"/>
        <v>168279.95800000001</v>
      </c>
      <c r="AF51" s="52">
        <f t="shared" si="53"/>
        <v>168279.95800000001</v>
      </c>
      <c r="AG51" s="52">
        <f t="shared" ref="AG51:AP57" si="54">$B51*AG$113</f>
        <v>168279.95800000001</v>
      </c>
      <c r="AH51" s="52">
        <f t="shared" si="54"/>
        <v>168279.95800000001</v>
      </c>
      <c r="AI51" s="52">
        <f t="shared" si="54"/>
        <v>168279.95800000001</v>
      </c>
      <c r="AJ51" s="52">
        <f t="shared" si="54"/>
        <v>168279.95800000001</v>
      </c>
      <c r="AK51" s="52">
        <f t="shared" si="54"/>
        <v>168279.95800000001</v>
      </c>
      <c r="AL51" s="52">
        <f t="shared" si="54"/>
        <v>168279.95800000001</v>
      </c>
      <c r="AM51" s="52">
        <f t="shared" si="54"/>
        <v>168279.95800000001</v>
      </c>
      <c r="AN51" s="52">
        <f t="shared" si="54"/>
        <v>168279.95800000001</v>
      </c>
      <c r="AO51" s="52">
        <f t="shared" si="54"/>
        <v>168279.95800000001</v>
      </c>
      <c r="AP51" s="52">
        <f t="shared" si="54"/>
        <v>168279.95800000001</v>
      </c>
      <c r="AQ51" s="52">
        <f t="shared" ref="AQ51:AZ57" si="55">$B51*AQ$113</f>
        <v>173328.35674000002</v>
      </c>
      <c r="AR51" s="52">
        <f t="shared" si="55"/>
        <v>173328.35674000002</v>
      </c>
      <c r="AS51" s="52">
        <f t="shared" si="55"/>
        <v>173328.35674000002</v>
      </c>
      <c r="AT51" s="52">
        <f t="shared" si="55"/>
        <v>173328.35674000002</v>
      </c>
      <c r="AU51" s="52">
        <f t="shared" si="55"/>
        <v>173328.35674000002</v>
      </c>
      <c r="AV51" s="52">
        <f t="shared" si="55"/>
        <v>173328.35674000002</v>
      </c>
      <c r="AW51" s="52">
        <f t="shared" si="55"/>
        <v>173328.35674000002</v>
      </c>
      <c r="AX51" s="52">
        <f t="shared" si="55"/>
        <v>173328.35674000002</v>
      </c>
      <c r="AY51" s="52">
        <f t="shared" si="55"/>
        <v>173328.35674000002</v>
      </c>
      <c r="AZ51" s="52">
        <f t="shared" si="55"/>
        <v>173328.35674000002</v>
      </c>
      <c r="BA51" s="52">
        <f t="shared" ref="BA51:BJ57" si="56">$B51*BA$113</f>
        <v>173328.35674000002</v>
      </c>
      <c r="BB51" s="52">
        <f t="shared" si="56"/>
        <v>173328.35674000002</v>
      </c>
      <c r="BC51" s="52">
        <f t="shared" si="56"/>
        <v>178528.20744220002</v>
      </c>
      <c r="BD51" s="52">
        <f t="shared" si="56"/>
        <v>178528.20744220002</v>
      </c>
      <c r="BE51" s="52">
        <f t="shared" si="56"/>
        <v>178528.20744220002</v>
      </c>
      <c r="BF51" s="52">
        <f t="shared" si="56"/>
        <v>178528.20744220002</v>
      </c>
      <c r="BG51" s="52">
        <f t="shared" si="56"/>
        <v>178528.20744220002</v>
      </c>
      <c r="BH51" s="52">
        <f t="shared" si="56"/>
        <v>178528.20744220002</v>
      </c>
      <c r="BI51" s="52">
        <f t="shared" si="56"/>
        <v>178528.20744220002</v>
      </c>
      <c r="BJ51" s="52">
        <f t="shared" si="56"/>
        <v>178528.20744220002</v>
      </c>
    </row>
    <row r="52" spans="1:69">
      <c r="A52" s="30" t="str">
        <f t="shared" si="50"/>
        <v>Директор производства</v>
      </c>
      <c r="B52" s="33">
        <v>110000</v>
      </c>
      <c r="C52" s="52">
        <f t="shared" si="51"/>
        <v>110000</v>
      </c>
      <c r="D52" s="52">
        <f t="shared" si="51"/>
        <v>110000</v>
      </c>
      <c r="E52" s="52">
        <f t="shared" si="51"/>
        <v>110000</v>
      </c>
      <c r="F52" s="52">
        <f t="shared" si="51"/>
        <v>110000</v>
      </c>
      <c r="G52" s="52">
        <f t="shared" si="51"/>
        <v>113300</v>
      </c>
      <c r="H52" s="52">
        <f t="shared" si="51"/>
        <v>113300</v>
      </c>
      <c r="I52" s="52">
        <f t="shared" si="51"/>
        <v>113300</v>
      </c>
      <c r="J52" s="52">
        <f t="shared" si="51"/>
        <v>113300</v>
      </c>
      <c r="K52" s="52">
        <f t="shared" si="51"/>
        <v>113300</v>
      </c>
      <c r="L52" s="52">
        <f t="shared" si="51"/>
        <v>113300</v>
      </c>
      <c r="M52" s="52">
        <f t="shared" si="52"/>
        <v>113300</v>
      </c>
      <c r="N52" s="52">
        <f t="shared" si="52"/>
        <v>113300</v>
      </c>
      <c r="O52" s="52">
        <f t="shared" si="52"/>
        <v>113300</v>
      </c>
      <c r="P52" s="52">
        <f t="shared" si="52"/>
        <v>113300</v>
      </c>
      <c r="Q52" s="52">
        <f t="shared" si="52"/>
        <v>113300</v>
      </c>
      <c r="R52" s="52">
        <f t="shared" si="52"/>
        <v>113300</v>
      </c>
      <c r="S52" s="52">
        <f t="shared" si="52"/>
        <v>116699</v>
      </c>
      <c r="T52" s="52">
        <f t="shared" si="52"/>
        <v>116699</v>
      </c>
      <c r="U52" s="52">
        <f t="shared" si="52"/>
        <v>116699</v>
      </c>
      <c r="V52" s="52">
        <f t="shared" si="52"/>
        <v>116699</v>
      </c>
      <c r="W52" s="52">
        <f t="shared" si="53"/>
        <v>116699</v>
      </c>
      <c r="X52" s="52">
        <f t="shared" si="53"/>
        <v>116699</v>
      </c>
      <c r="Y52" s="52">
        <f t="shared" si="53"/>
        <v>116699</v>
      </c>
      <c r="Z52" s="52">
        <f t="shared" si="53"/>
        <v>116699</v>
      </c>
      <c r="AA52" s="52">
        <f t="shared" si="53"/>
        <v>116699</v>
      </c>
      <c r="AB52" s="52">
        <f t="shared" si="53"/>
        <v>116699</v>
      </c>
      <c r="AC52" s="52">
        <f t="shared" si="53"/>
        <v>116699</v>
      </c>
      <c r="AD52" s="52">
        <f t="shared" si="53"/>
        <v>116699</v>
      </c>
      <c r="AE52" s="52">
        <f t="shared" si="53"/>
        <v>120199.97</v>
      </c>
      <c r="AF52" s="52">
        <f t="shared" si="53"/>
        <v>120199.97</v>
      </c>
      <c r="AG52" s="52">
        <f t="shared" si="54"/>
        <v>120199.97</v>
      </c>
      <c r="AH52" s="52">
        <f t="shared" si="54"/>
        <v>120199.97</v>
      </c>
      <c r="AI52" s="52">
        <f t="shared" si="54"/>
        <v>120199.97</v>
      </c>
      <c r="AJ52" s="52">
        <f t="shared" si="54"/>
        <v>120199.97</v>
      </c>
      <c r="AK52" s="52">
        <f t="shared" si="54"/>
        <v>120199.97</v>
      </c>
      <c r="AL52" s="52">
        <f t="shared" si="54"/>
        <v>120199.97</v>
      </c>
      <c r="AM52" s="52">
        <f t="shared" si="54"/>
        <v>120199.97</v>
      </c>
      <c r="AN52" s="52">
        <f t="shared" si="54"/>
        <v>120199.97</v>
      </c>
      <c r="AO52" s="52">
        <f t="shared" si="54"/>
        <v>120199.97</v>
      </c>
      <c r="AP52" s="52">
        <f t="shared" si="54"/>
        <v>120199.97</v>
      </c>
      <c r="AQ52" s="52">
        <f t="shared" si="55"/>
        <v>123805.96910000002</v>
      </c>
      <c r="AR52" s="52">
        <f t="shared" si="55"/>
        <v>123805.96910000002</v>
      </c>
      <c r="AS52" s="52">
        <f t="shared" si="55"/>
        <v>123805.96910000002</v>
      </c>
      <c r="AT52" s="52">
        <f t="shared" si="55"/>
        <v>123805.96910000002</v>
      </c>
      <c r="AU52" s="52">
        <f t="shared" si="55"/>
        <v>123805.96910000002</v>
      </c>
      <c r="AV52" s="52">
        <f t="shared" si="55"/>
        <v>123805.96910000002</v>
      </c>
      <c r="AW52" s="52">
        <f t="shared" si="55"/>
        <v>123805.96910000002</v>
      </c>
      <c r="AX52" s="52">
        <f t="shared" si="55"/>
        <v>123805.96910000002</v>
      </c>
      <c r="AY52" s="52">
        <f t="shared" si="55"/>
        <v>123805.96910000002</v>
      </c>
      <c r="AZ52" s="52">
        <f t="shared" si="55"/>
        <v>123805.96910000002</v>
      </c>
      <c r="BA52" s="52">
        <f t="shared" si="56"/>
        <v>123805.96910000002</v>
      </c>
      <c r="BB52" s="52">
        <f t="shared" si="56"/>
        <v>123805.96910000002</v>
      </c>
      <c r="BC52" s="52">
        <f t="shared" si="56"/>
        <v>127520.14817300001</v>
      </c>
      <c r="BD52" s="52">
        <f t="shared" si="56"/>
        <v>127520.14817300001</v>
      </c>
      <c r="BE52" s="52">
        <f t="shared" si="56"/>
        <v>127520.14817300001</v>
      </c>
      <c r="BF52" s="52">
        <f t="shared" si="56"/>
        <v>127520.14817300001</v>
      </c>
      <c r="BG52" s="52">
        <f t="shared" si="56"/>
        <v>127520.14817300001</v>
      </c>
      <c r="BH52" s="52">
        <f t="shared" si="56"/>
        <v>127520.14817300001</v>
      </c>
      <c r="BI52" s="52">
        <f t="shared" si="56"/>
        <v>127520.14817300001</v>
      </c>
      <c r="BJ52" s="52">
        <f t="shared" si="56"/>
        <v>127520.14817300001</v>
      </c>
    </row>
    <row r="53" spans="1:69">
      <c r="A53" s="30" t="str">
        <f t="shared" si="50"/>
        <v>Главный бухгалтер</v>
      </c>
      <c r="B53" s="33">
        <v>100000</v>
      </c>
      <c r="C53" s="52">
        <f t="shared" si="51"/>
        <v>100000</v>
      </c>
      <c r="D53" s="52">
        <f t="shared" si="51"/>
        <v>100000</v>
      </c>
      <c r="E53" s="52">
        <f t="shared" si="51"/>
        <v>100000</v>
      </c>
      <c r="F53" s="52">
        <f t="shared" si="51"/>
        <v>100000</v>
      </c>
      <c r="G53" s="52">
        <f t="shared" si="51"/>
        <v>103000</v>
      </c>
      <c r="H53" s="52">
        <f t="shared" si="51"/>
        <v>103000</v>
      </c>
      <c r="I53" s="52">
        <f t="shared" si="51"/>
        <v>103000</v>
      </c>
      <c r="J53" s="52">
        <f t="shared" si="51"/>
        <v>103000</v>
      </c>
      <c r="K53" s="52">
        <f t="shared" si="51"/>
        <v>103000</v>
      </c>
      <c r="L53" s="52">
        <f t="shared" si="51"/>
        <v>103000</v>
      </c>
      <c r="M53" s="52">
        <f t="shared" si="52"/>
        <v>103000</v>
      </c>
      <c r="N53" s="52">
        <f t="shared" si="52"/>
        <v>103000</v>
      </c>
      <c r="O53" s="52">
        <f t="shared" si="52"/>
        <v>103000</v>
      </c>
      <c r="P53" s="52">
        <f t="shared" si="52"/>
        <v>103000</v>
      </c>
      <c r="Q53" s="52">
        <f t="shared" si="52"/>
        <v>103000</v>
      </c>
      <c r="R53" s="52">
        <f t="shared" si="52"/>
        <v>103000</v>
      </c>
      <c r="S53" s="52">
        <f t="shared" si="52"/>
        <v>106090</v>
      </c>
      <c r="T53" s="52">
        <f t="shared" si="52"/>
        <v>106090</v>
      </c>
      <c r="U53" s="52">
        <f t="shared" si="52"/>
        <v>106090</v>
      </c>
      <c r="V53" s="52">
        <f t="shared" si="52"/>
        <v>106090</v>
      </c>
      <c r="W53" s="52">
        <f t="shared" si="53"/>
        <v>106090</v>
      </c>
      <c r="X53" s="52">
        <f t="shared" si="53"/>
        <v>106090</v>
      </c>
      <c r="Y53" s="52">
        <f t="shared" si="53"/>
        <v>106090</v>
      </c>
      <c r="Z53" s="52">
        <f t="shared" si="53"/>
        <v>106090</v>
      </c>
      <c r="AA53" s="52">
        <f t="shared" si="53"/>
        <v>106090</v>
      </c>
      <c r="AB53" s="52">
        <f t="shared" si="53"/>
        <v>106090</v>
      </c>
      <c r="AC53" s="52">
        <f t="shared" si="53"/>
        <v>106090</v>
      </c>
      <c r="AD53" s="52">
        <f t="shared" si="53"/>
        <v>106090</v>
      </c>
      <c r="AE53" s="52">
        <f t="shared" si="53"/>
        <v>109272.7</v>
      </c>
      <c r="AF53" s="52">
        <f t="shared" si="53"/>
        <v>109272.7</v>
      </c>
      <c r="AG53" s="52">
        <f t="shared" si="54"/>
        <v>109272.7</v>
      </c>
      <c r="AH53" s="52">
        <f t="shared" si="54"/>
        <v>109272.7</v>
      </c>
      <c r="AI53" s="52">
        <f t="shared" si="54"/>
        <v>109272.7</v>
      </c>
      <c r="AJ53" s="52">
        <f t="shared" si="54"/>
        <v>109272.7</v>
      </c>
      <c r="AK53" s="52">
        <f t="shared" si="54"/>
        <v>109272.7</v>
      </c>
      <c r="AL53" s="52">
        <f t="shared" si="54"/>
        <v>109272.7</v>
      </c>
      <c r="AM53" s="52">
        <f t="shared" si="54"/>
        <v>109272.7</v>
      </c>
      <c r="AN53" s="52">
        <f t="shared" si="54"/>
        <v>109272.7</v>
      </c>
      <c r="AO53" s="52">
        <f t="shared" si="54"/>
        <v>109272.7</v>
      </c>
      <c r="AP53" s="52">
        <f t="shared" si="54"/>
        <v>109272.7</v>
      </c>
      <c r="AQ53" s="52">
        <f t="shared" si="55"/>
        <v>112550.88100000001</v>
      </c>
      <c r="AR53" s="52">
        <f t="shared" si="55"/>
        <v>112550.88100000001</v>
      </c>
      <c r="AS53" s="52">
        <f t="shared" si="55"/>
        <v>112550.88100000001</v>
      </c>
      <c r="AT53" s="52">
        <f t="shared" si="55"/>
        <v>112550.88100000001</v>
      </c>
      <c r="AU53" s="52">
        <f t="shared" si="55"/>
        <v>112550.88100000001</v>
      </c>
      <c r="AV53" s="52">
        <f t="shared" si="55"/>
        <v>112550.88100000001</v>
      </c>
      <c r="AW53" s="52">
        <f t="shared" si="55"/>
        <v>112550.88100000001</v>
      </c>
      <c r="AX53" s="52">
        <f t="shared" si="55"/>
        <v>112550.88100000001</v>
      </c>
      <c r="AY53" s="52">
        <f t="shared" si="55"/>
        <v>112550.88100000001</v>
      </c>
      <c r="AZ53" s="52">
        <f t="shared" si="55"/>
        <v>112550.88100000001</v>
      </c>
      <c r="BA53" s="52">
        <f t="shared" si="56"/>
        <v>112550.88100000001</v>
      </c>
      <c r="BB53" s="52">
        <f t="shared" si="56"/>
        <v>112550.88100000001</v>
      </c>
      <c r="BC53" s="52">
        <f t="shared" si="56"/>
        <v>115927.40743000001</v>
      </c>
      <c r="BD53" s="52">
        <f t="shared" si="56"/>
        <v>115927.40743000001</v>
      </c>
      <c r="BE53" s="52">
        <f t="shared" si="56"/>
        <v>115927.40743000001</v>
      </c>
      <c r="BF53" s="52">
        <f t="shared" si="56"/>
        <v>115927.40743000001</v>
      </c>
      <c r="BG53" s="52">
        <f t="shared" si="56"/>
        <v>115927.40743000001</v>
      </c>
      <c r="BH53" s="52">
        <f t="shared" si="56"/>
        <v>115927.40743000001</v>
      </c>
      <c r="BI53" s="52">
        <f t="shared" si="56"/>
        <v>115927.40743000001</v>
      </c>
      <c r="BJ53" s="52">
        <f t="shared" si="56"/>
        <v>115927.40743000001</v>
      </c>
    </row>
    <row r="54" spans="1:69">
      <c r="A54" s="30" t="str">
        <f t="shared" si="50"/>
        <v>Главный технолог</v>
      </c>
      <c r="B54" s="33">
        <v>92000</v>
      </c>
      <c r="C54" s="52">
        <f t="shared" si="51"/>
        <v>92000</v>
      </c>
      <c r="D54" s="52">
        <f t="shared" si="51"/>
        <v>92000</v>
      </c>
      <c r="E54" s="52">
        <f t="shared" si="51"/>
        <v>92000</v>
      </c>
      <c r="F54" s="52">
        <f t="shared" si="51"/>
        <v>92000</v>
      </c>
      <c r="G54" s="52">
        <f t="shared" si="51"/>
        <v>94760</v>
      </c>
      <c r="H54" s="52">
        <f t="shared" si="51"/>
        <v>94760</v>
      </c>
      <c r="I54" s="52">
        <f t="shared" si="51"/>
        <v>94760</v>
      </c>
      <c r="J54" s="52">
        <f t="shared" si="51"/>
        <v>94760</v>
      </c>
      <c r="K54" s="52">
        <f t="shared" si="51"/>
        <v>94760</v>
      </c>
      <c r="L54" s="52">
        <f t="shared" si="51"/>
        <v>94760</v>
      </c>
      <c r="M54" s="52">
        <f t="shared" si="52"/>
        <v>94760</v>
      </c>
      <c r="N54" s="52">
        <f t="shared" si="52"/>
        <v>94760</v>
      </c>
      <c r="O54" s="52">
        <f t="shared" si="52"/>
        <v>94760</v>
      </c>
      <c r="P54" s="52">
        <f t="shared" si="52"/>
        <v>94760</v>
      </c>
      <c r="Q54" s="52">
        <f t="shared" si="52"/>
        <v>94760</v>
      </c>
      <c r="R54" s="52">
        <f t="shared" si="52"/>
        <v>94760</v>
      </c>
      <c r="S54" s="52">
        <f t="shared" si="52"/>
        <v>97602.8</v>
      </c>
      <c r="T54" s="52">
        <f t="shared" si="52"/>
        <v>97602.8</v>
      </c>
      <c r="U54" s="52">
        <f t="shared" si="52"/>
        <v>97602.8</v>
      </c>
      <c r="V54" s="52">
        <f t="shared" si="52"/>
        <v>97602.8</v>
      </c>
      <c r="W54" s="52">
        <f t="shared" si="53"/>
        <v>97602.8</v>
      </c>
      <c r="X54" s="52">
        <f t="shared" si="53"/>
        <v>97602.8</v>
      </c>
      <c r="Y54" s="52">
        <f t="shared" si="53"/>
        <v>97602.8</v>
      </c>
      <c r="Z54" s="52">
        <f t="shared" si="53"/>
        <v>97602.8</v>
      </c>
      <c r="AA54" s="52">
        <f t="shared" si="53"/>
        <v>97602.8</v>
      </c>
      <c r="AB54" s="52">
        <f t="shared" si="53"/>
        <v>97602.8</v>
      </c>
      <c r="AC54" s="52">
        <f t="shared" si="53"/>
        <v>97602.8</v>
      </c>
      <c r="AD54" s="52">
        <f t="shared" si="53"/>
        <v>97602.8</v>
      </c>
      <c r="AE54" s="52">
        <f t="shared" si="53"/>
        <v>100530.88400000001</v>
      </c>
      <c r="AF54" s="52">
        <f t="shared" si="53"/>
        <v>100530.88400000001</v>
      </c>
      <c r="AG54" s="52">
        <f t="shared" si="54"/>
        <v>100530.88400000001</v>
      </c>
      <c r="AH54" s="52">
        <f t="shared" si="54"/>
        <v>100530.88400000001</v>
      </c>
      <c r="AI54" s="52">
        <f t="shared" si="54"/>
        <v>100530.88400000001</v>
      </c>
      <c r="AJ54" s="52">
        <f t="shared" si="54"/>
        <v>100530.88400000001</v>
      </c>
      <c r="AK54" s="52">
        <f t="shared" si="54"/>
        <v>100530.88400000001</v>
      </c>
      <c r="AL54" s="52">
        <f t="shared" si="54"/>
        <v>100530.88400000001</v>
      </c>
      <c r="AM54" s="52">
        <f t="shared" si="54"/>
        <v>100530.88400000001</v>
      </c>
      <c r="AN54" s="52">
        <f t="shared" si="54"/>
        <v>100530.88400000001</v>
      </c>
      <c r="AO54" s="52">
        <f t="shared" si="54"/>
        <v>100530.88400000001</v>
      </c>
      <c r="AP54" s="52">
        <f t="shared" si="54"/>
        <v>100530.88400000001</v>
      </c>
      <c r="AQ54" s="52">
        <f t="shared" si="55"/>
        <v>103546.81052000001</v>
      </c>
      <c r="AR54" s="52">
        <f t="shared" si="55"/>
        <v>103546.81052000001</v>
      </c>
      <c r="AS54" s="52">
        <f t="shared" si="55"/>
        <v>103546.81052000001</v>
      </c>
      <c r="AT54" s="52">
        <f t="shared" si="55"/>
        <v>103546.81052000001</v>
      </c>
      <c r="AU54" s="52">
        <f t="shared" si="55"/>
        <v>103546.81052000001</v>
      </c>
      <c r="AV54" s="52">
        <f t="shared" si="55"/>
        <v>103546.81052000001</v>
      </c>
      <c r="AW54" s="52">
        <f t="shared" si="55"/>
        <v>103546.81052000001</v>
      </c>
      <c r="AX54" s="52">
        <f t="shared" si="55"/>
        <v>103546.81052000001</v>
      </c>
      <c r="AY54" s="52">
        <f t="shared" si="55"/>
        <v>103546.81052000001</v>
      </c>
      <c r="AZ54" s="52">
        <f t="shared" si="55"/>
        <v>103546.81052000001</v>
      </c>
      <c r="BA54" s="52">
        <f t="shared" si="56"/>
        <v>103546.81052000001</v>
      </c>
      <c r="BB54" s="52">
        <f t="shared" si="56"/>
        <v>103546.81052000001</v>
      </c>
      <c r="BC54" s="52">
        <f t="shared" si="56"/>
        <v>106653.21483560001</v>
      </c>
      <c r="BD54" s="52">
        <f t="shared" si="56"/>
        <v>106653.21483560001</v>
      </c>
      <c r="BE54" s="52">
        <f t="shared" si="56"/>
        <v>106653.21483560001</v>
      </c>
      <c r="BF54" s="52">
        <f t="shared" si="56"/>
        <v>106653.21483560001</v>
      </c>
      <c r="BG54" s="52">
        <f t="shared" si="56"/>
        <v>106653.21483560001</v>
      </c>
      <c r="BH54" s="52">
        <f t="shared" si="56"/>
        <v>106653.21483560001</v>
      </c>
      <c r="BI54" s="52">
        <f t="shared" si="56"/>
        <v>106653.21483560001</v>
      </c>
      <c r="BJ54" s="52">
        <f t="shared" si="56"/>
        <v>106653.21483560001</v>
      </c>
    </row>
    <row r="55" spans="1:69">
      <c r="A55" s="30" t="str">
        <f t="shared" si="50"/>
        <v>Начальник ОТК/Ветеринарный врач</v>
      </c>
      <c r="B55" s="33">
        <v>63000</v>
      </c>
      <c r="C55" s="52">
        <f t="shared" si="51"/>
        <v>63000</v>
      </c>
      <c r="D55" s="52">
        <f t="shared" si="51"/>
        <v>63000</v>
      </c>
      <c r="E55" s="52">
        <f t="shared" si="51"/>
        <v>63000</v>
      </c>
      <c r="F55" s="52">
        <f t="shared" si="51"/>
        <v>63000</v>
      </c>
      <c r="G55" s="52">
        <f t="shared" si="51"/>
        <v>64890</v>
      </c>
      <c r="H55" s="52">
        <f t="shared" si="51"/>
        <v>64890</v>
      </c>
      <c r="I55" s="52">
        <f t="shared" si="51"/>
        <v>64890</v>
      </c>
      <c r="J55" s="52">
        <f t="shared" si="51"/>
        <v>64890</v>
      </c>
      <c r="K55" s="52">
        <f t="shared" si="51"/>
        <v>64890</v>
      </c>
      <c r="L55" s="52">
        <f t="shared" si="51"/>
        <v>64890</v>
      </c>
      <c r="M55" s="52">
        <f t="shared" si="52"/>
        <v>64890</v>
      </c>
      <c r="N55" s="52">
        <f t="shared" si="52"/>
        <v>64890</v>
      </c>
      <c r="O55" s="52">
        <f t="shared" si="52"/>
        <v>64890</v>
      </c>
      <c r="P55" s="52">
        <f t="shared" si="52"/>
        <v>64890</v>
      </c>
      <c r="Q55" s="52">
        <f t="shared" si="52"/>
        <v>64890</v>
      </c>
      <c r="R55" s="52">
        <f t="shared" si="52"/>
        <v>64890</v>
      </c>
      <c r="S55" s="52">
        <f t="shared" si="52"/>
        <v>66836.7</v>
      </c>
      <c r="T55" s="52">
        <f t="shared" si="52"/>
        <v>66836.7</v>
      </c>
      <c r="U55" s="52">
        <f t="shared" si="52"/>
        <v>66836.7</v>
      </c>
      <c r="V55" s="52">
        <f t="shared" si="52"/>
        <v>66836.7</v>
      </c>
      <c r="W55" s="52">
        <f t="shared" si="53"/>
        <v>66836.7</v>
      </c>
      <c r="X55" s="52">
        <f t="shared" si="53"/>
        <v>66836.7</v>
      </c>
      <c r="Y55" s="52">
        <f t="shared" si="53"/>
        <v>66836.7</v>
      </c>
      <c r="Z55" s="52">
        <f t="shared" si="53"/>
        <v>66836.7</v>
      </c>
      <c r="AA55" s="52">
        <f t="shared" si="53"/>
        <v>66836.7</v>
      </c>
      <c r="AB55" s="52">
        <f t="shared" si="53"/>
        <v>66836.7</v>
      </c>
      <c r="AC55" s="52">
        <f t="shared" si="53"/>
        <v>66836.7</v>
      </c>
      <c r="AD55" s="52">
        <f t="shared" si="53"/>
        <v>66836.7</v>
      </c>
      <c r="AE55" s="52">
        <f t="shared" si="53"/>
        <v>68841.801000000007</v>
      </c>
      <c r="AF55" s="52">
        <f t="shared" si="53"/>
        <v>68841.801000000007</v>
      </c>
      <c r="AG55" s="52">
        <f t="shared" si="54"/>
        <v>68841.801000000007</v>
      </c>
      <c r="AH55" s="52">
        <f t="shared" si="54"/>
        <v>68841.801000000007</v>
      </c>
      <c r="AI55" s="52">
        <f t="shared" si="54"/>
        <v>68841.801000000007</v>
      </c>
      <c r="AJ55" s="52">
        <f t="shared" si="54"/>
        <v>68841.801000000007</v>
      </c>
      <c r="AK55" s="52">
        <f t="shared" si="54"/>
        <v>68841.801000000007</v>
      </c>
      <c r="AL55" s="52">
        <f t="shared" si="54"/>
        <v>68841.801000000007</v>
      </c>
      <c r="AM55" s="52">
        <f t="shared" si="54"/>
        <v>68841.801000000007</v>
      </c>
      <c r="AN55" s="52">
        <f t="shared" si="54"/>
        <v>68841.801000000007</v>
      </c>
      <c r="AO55" s="52">
        <f t="shared" si="54"/>
        <v>68841.801000000007</v>
      </c>
      <c r="AP55" s="52">
        <f t="shared" si="54"/>
        <v>68841.801000000007</v>
      </c>
      <c r="AQ55" s="52">
        <f t="shared" si="55"/>
        <v>70907.055030000003</v>
      </c>
      <c r="AR55" s="52">
        <f t="shared" si="55"/>
        <v>70907.055030000003</v>
      </c>
      <c r="AS55" s="52">
        <f t="shared" si="55"/>
        <v>70907.055030000003</v>
      </c>
      <c r="AT55" s="52">
        <f t="shared" si="55"/>
        <v>70907.055030000003</v>
      </c>
      <c r="AU55" s="52">
        <f t="shared" si="55"/>
        <v>70907.055030000003</v>
      </c>
      <c r="AV55" s="52">
        <f t="shared" si="55"/>
        <v>70907.055030000003</v>
      </c>
      <c r="AW55" s="52">
        <f t="shared" si="55"/>
        <v>70907.055030000003</v>
      </c>
      <c r="AX55" s="52">
        <f t="shared" si="55"/>
        <v>70907.055030000003</v>
      </c>
      <c r="AY55" s="52">
        <f t="shared" si="55"/>
        <v>70907.055030000003</v>
      </c>
      <c r="AZ55" s="52">
        <f t="shared" si="55"/>
        <v>70907.055030000003</v>
      </c>
      <c r="BA55" s="52">
        <f t="shared" si="56"/>
        <v>70907.055030000003</v>
      </c>
      <c r="BB55" s="52">
        <f t="shared" si="56"/>
        <v>70907.055030000003</v>
      </c>
      <c r="BC55" s="52">
        <f t="shared" si="56"/>
        <v>73034.266680900007</v>
      </c>
      <c r="BD55" s="52">
        <f t="shared" si="56"/>
        <v>73034.266680900007</v>
      </c>
      <c r="BE55" s="52">
        <f t="shared" si="56"/>
        <v>73034.266680900007</v>
      </c>
      <c r="BF55" s="52">
        <f t="shared" si="56"/>
        <v>73034.266680900007</v>
      </c>
      <c r="BG55" s="52">
        <f t="shared" si="56"/>
        <v>73034.266680900007</v>
      </c>
      <c r="BH55" s="52">
        <f t="shared" si="56"/>
        <v>73034.266680900007</v>
      </c>
      <c r="BI55" s="52">
        <f t="shared" si="56"/>
        <v>73034.266680900007</v>
      </c>
      <c r="BJ55" s="52">
        <f t="shared" si="56"/>
        <v>73034.266680900007</v>
      </c>
    </row>
    <row r="56" spans="1:69">
      <c r="A56" s="30" t="str">
        <f t="shared" si="50"/>
        <v>Начальник смены</v>
      </c>
      <c r="B56" s="33">
        <v>71000</v>
      </c>
      <c r="C56" s="52">
        <f t="shared" si="51"/>
        <v>71000</v>
      </c>
      <c r="D56" s="52">
        <f t="shared" si="51"/>
        <v>71000</v>
      </c>
      <c r="E56" s="52">
        <f t="shared" si="51"/>
        <v>71000</v>
      </c>
      <c r="F56" s="52">
        <f t="shared" si="51"/>
        <v>71000</v>
      </c>
      <c r="G56" s="52">
        <f t="shared" si="51"/>
        <v>73130</v>
      </c>
      <c r="H56" s="52">
        <f t="shared" si="51"/>
        <v>73130</v>
      </c>
      <c r="I56" s="52">
        <f t="shared" si="51"/>
        <v>73130</v>
      </c>
      <c r="J56" s="52">
        <f t="shared" si="51"/>
        <v>73130</v>
      </c>
      <c r="K56" s="52">
        <f t="shared" si="51"/>
        <v>73130</v>
      </c>
      <c r="L56" s="52">
        <f t="shared" si="51"/>
        <v>73130</v>
      </c>
      <c r="M56" s="52">
        <f t="shared" si="52"/>
        <v>73130</v>
      </c>
      <c r="N56" s="52">
        <f t="shared" si="52"/>
        <v>73130</v>
      </c>
      <c r="O56" s="52">
        <f t="shared" si="52"/>
        <v>73130</v>
      </c>
      <c r="P56" s="52">
        <f t="shared" si="52"/>
        <v>73130</v>
      </c>
      <c r="Q56" s="52">
        <f t="shared" si="52"/>
        <v>73130</v>
      </c>
      <c r="R56" s="52">
        <f t="shared" si="52"/>
        <v>73130</v>
      </c>
      <c r="S56" s="52">
        <f t="shared" si="52"/>
        <v>75323.899999999994</v>
      </c>
      <c r="T56" s="52">
        <f t="shared" si="52"/>
        <v>75323.899999999994</v>
      </c>
      <c r="U56" s="52">
        <f t="shared" si="52"/>
        <v>75323.899999999994</v>
      </c>
      <c r="V56" s="52">
        <f t="shared" si="52"/>
        <v>75323.899999999994</v>
      </c>
      <c r="W56" s="52">
        <f t="shared" si="53"/>
        <v>75323.899999999994</v>
      </c>
      <c r="X56" s="52">
        <f t="shared" si="53"/>
        <v>75323.899999999994</v>
      </c>
      <c r="Y56" s="52">
        <f t="shared" si="53"/>
        <v>75323.899999999994</v>
      </c>
      <c r="Z56" s="52">
        <f t="shared" si="53"/>
        <v>75323.899999999994</v>
      </c>
      <c r="AA56" s="52">
        <f t="shared" si="53"/>
        <v>75323.899999999994</v>
      </c>
      <c r="AB56" s="52">
        <f t="shared" si="53"/>
        <v>75323.899999999994</v>
      </c>
      <c r="AC56" s="52">
        <f t="shared" si="53"/>
        <v>75323.899999999994</v>
      </c>
      <c r="AD56" s="52">
        <f t="shared" si="53"/>
        <v>75323.899999999994</v>
      </c>
      <c r="AE56" s="52">
        <f t="shared" si="53"/>
        <v>77583.616999999998</v>
      </c>
      <c r="AF56" s="52">
        <f t="shared" si="53"/>
        <v>77583.616999999998</v>
      </c>
      <c r="AG56" s="52">
        <f t="shared" si="54"/>
        <v>77583.616999999998</v>
      </c>
      <c r="AH56" s="52">
        <f t="shared" si="54"/>
        <v>77583.616999999998</v>
      </c>
      <c r="AI56" s="52">
        <f t="shared" si="54"/>
        <v>77583.616999999998</v>
      </c>
      <c r="AJ56" s="52">
        <f t="shared" si="54"/>
        <v>77583.616999999998</v>
      </c>
      <c r="AK56" s="52">
        <f t="shared" si="54"/>
        <v>77583.616999999998</v>
      </c>
      <c r="AL56" s="52">
        <f t="shared" si="54"/>
        <v>77583.616999999998</v>
      </c>
      <c r="AM56" s="52">
        <f t="shared" si="54"/>
        <v>77583.616999999998</v>
      </c>
      <c r="AN56" s="52">
        <f t="shared" si="54"/>
        <v>77583.616999999998</v>
      </c>
      <c r="AO56" s="52">
        <f t="shared" si="54"/>
        <v>77583.616999999998</v>
      </c>
      <c r="AP56" s="52">
        <f t="shared" si="54"/>
        <v>77583.616999999998</v>
      </c>
      <c r="AQ56" s="52">
        <f t="shared" si="55"/>
        <v>79911.125510000013</v>
      </c>
      <c r="AR56" s="52">
        <f t="shared" si="55"/>
        <v>79911.125510000013</v>
      </c>
      <c r="AS56" s="52">
        <f t="shared" si="55"/>
        <v>79911.125510000013</v>
      </c>
      <c r="AT56" s="52">
        <f t="shared" si="55"/>
        <v>79911.125510000013</v>
      </c>
      <c r="AU56" s="52">
        <f t="shared" si="55"/>
        <v>79911.125510000013</v>
      </c>
      <c r="AV56" s="52">
        <f t="shared" si="55"/>
        <v>79911.125510000013</v>
      </c>
      <c r="AW56" s="52">
        <f t="shared" si="55"/>
        <v>79911.125510000013</v>
      </c>
      <c r="AX56" s="52">
        <f t="shared" si="55"/>
        <v>79911.125510000013</v>
      </c>
      <c r="AY56" s="52">
        <f t="shared" si="55"/>
        <v>79911.125510000013</v>
      </c>
      <c r="AZ56" s="52">
        <f t="shared" si="55"/>
        <v>79911.125510000013</v>
      </c>
      <c r="BA56" s="52">
        <f t="shared" si="56"/>
        <v>79911.125510000013</v>
      </c>
      <c r="BB56" s="52">
        <f t="shared" si="56"/>
        <v>79911.125510000013</v>
      </c>
      <c r="BC56" s="52">
        <f t="shared" si="56"/>
        <v>82308.459275300003</v>
      </c>
      <c r="BD56" s="52">
        <f t="shared" si="56"/>
        <v>82308.459275300003</v>
      </c>
      <c r="BE56" s="52">
        <f t="shared" si="56"/>
        <v>82308.459275300003</v>
      </c>
      <c r="BF56" s="52">
        <f t="shared" si="56"/>
        <v>82308.459275300003</v>
      </c>
      <c r="BG56" s="52">
        <f t="shared" si="56"/>
        <v>82308.459275300003</v>
      </c>
      <c r="BH56" s="52">
        <f t="shared" si="56"/>
        <v>82308.459275300003</v>
      </c>
      <c r="BI56" s="52">
        <f t="shared" si="56"/>
        <v>82308.459275300003</v>
      </c>
      <c r="BJ56" s="52">
        <f t="shared" si="56"/>
        <v>82308.459275300003</v>
      </c>
    </row>
    <row r="57" spans="1:69">
      <c r="A57" s="30" t="str">
        <f t="shared" si="50"/>
        <v>Бухгалтер</v>
      </c>
      <c r="B57" s="33">
        <v>65000</v>
      </c>
      <c r="C57" s="52">
        <f t="shared" si="51"/>
        <v>65000</v>
      </c>
      <c r="D57" s="52">
        <f t="shared" si="51"/>
        <v>65000</v>
      </c>
      <c r="E57" s="52">
        <f t="shared" si="51"/>
        <v>65000</v>
      </c>
      <c r="F57" s="52">
        <f t="shared" si="51"/>
        <v>65000</v>
      </c>
      <c r="G57" s="52">
        <f t="shared" si="51"/>
        <v>66950</v>
      </c>
      <c r="H57" s="52">
        <f t="shared" si="51"/>
        <v>66950</v>
      </c>
      <c r="I57" s="52">
        <f t="shared" si="51"/>
        <v>66950</v>
      </c>
      <c r="J57" s="52">
        <f t="shared" si="51"/>
        <v>66950</v>
      </c>
      <c r="K57" s="52">
        <f t="shared" si="51"/>
        <v>66950</v>
      </c>
      <c r="L57" s="52">
        <f t="shared" si="51"/>
        <v>66950</v>
      </c>
      <c r="M57" s="52">
        <f t="shared" si="52"/>
        <v>66950</v>
      </c>
      <c r="N57" s="52">
        <f t="shared" si="52"/>
        <v>66950</v>
      </c>
      <c r="O57" s="52">
        <f t="shared" si="52"/>
        <v>66950</v>
      </c>
      <c r="P57" s="52">
        <f t="shared" si="52"/>
        <v>66950</v>
      </c>
      <c r="Q57" s="52">
        <f t="shared" si="52"/>
        <v>66950</v>
      </c>
      <c r="R57" s="52">
        <f t="shared" si="52"/>
        <v>66950</v>
      </c>
      <c r="S57" s="52">
        <f t="shared" si="52"/>
        <v>68958.5</v>
      </c>
      <c r="T57" s="52">
        <f t="shared" si="52"/>
        <v>68958.5</v>
      </c>
      <c r="U57" s="52">
        <f t="shared" si="52"/>
        <v>68958.5</v>
      </c>
      <c r="V57" s="52">
        <f t="shared" si="52"/>
        <v>68958.5</v>
      </c>
      <c r="W57" s="52">
        <f t="shared" si="53"/>
        <v>68958.5</v>
      </c>
      <c r="X57" s="52">
        <f t="shared" si="53"/>
        <v>68958.5</v>
      </c>
      <c r="Y57" s="52">
        <f t="shared" si="53"/>
        <v>68958.5</v>
      </c>
      <c r="Z57" s="52">
        <f t="shared" si="53"/>
        <v>68958.5</v>
      </c>
      <c r="AA57" s="52">
        <f t="shared" si="53"/>
        <v>68958.5</v>
      </c>
      <c r="AB57" s="52">
        <f t="shared" si="53"/>
        <v>68958.5</v>
      </c>
      <c r="AC57" s="52">
        <f t="shared" si="53"/>
        <v>68958.5</v>
      </c>
      <c r="AD57" s="52">
        <f t="shared" si="53"/>
        <v>68958.5</v>
      </c>
      <c r="AE57" s="52">
        <f t="shared" si="53"/>
        <v>71027.255000000005</v>
      </c>
      <c r="AF57" s="52">
        <f t="shared" si="53"/>
        <v>71027.255000000005</v>
      </c>
      <c r="AG57" s="52">
        <f t="shared" si="54"/>
        <v>71027.255000000005</v>
      </c>
      <c r="AH57" s="52">
        <f t="shared" si="54"/>
        <v>71027.255000000005</v>
      </c>
      <c r="AI57" s="52">
        <f t="shared" si="54"/>
        <v>71027.255000000005</v>
      </c>
      <c r="AJ57" s="52">
        <f t="shared" si="54"/>
        <v>71027.255000000005</v>
      </c>
      <c r="AK57" s="52">
        <f t="shared" si="54"/>
        <v>71027.255000000005</v>
      </c>
      <c r="AL57" s="52">
        <f t="shared" si="54"/>
        <v>71027.255000000005</v>
      </c>
      <c r="AM57" s="52">
        <f t="shared" si="54"/>
        <v>71027.255000000005</v>
      </c>
      <c r="AN57" s="52">
        <f t="shared" si="54"/>
        <v>71027.255000000005</v>
      </c>
      <c r="AO57" s="52">
        <f t="shared" si="54"/>
        <v>71027.255000000005</v>
      </c>
      <c r="AP57" s="52">
        <f t="shared" si="54"/>
        <v>71027.255000000005</v>
      </c>
      <c r="AQ57" s="52">
        <f t="shared" si="55"/>
        <v>73158.072650000002</v>
      </c>
      <c r="AR57" s="52">
        <f t="shared" si="55"/>
        <v>73158.072650000002</v>
      </c>
      <c r="AS57" s="52">
        <f t="shared" si="55"/>
        <v>73158.072650000002</v>
      </c>
      <c r="AT57" s="52">
        <f t="shared" si="55"/>
        <v>73158.072650000002</v>
      </c>
      <c r="AU57" s="52">
        <f t="shared" si="55"/>
        <v>73158.072650000002</v>
      </c>
      <c r="AV57" s="52">
        <f t="shared" si="55"/>
        <v>73158.072650000002</v>
      </c>
      <c r="AW57" s="52">
        <f t="shared" si="55"/>
        <v>73158.072650000002</v>
      </c>
      <c r="AX57" s="52">
        <f t="shared" si="55"/>
        <v>73158.072650000002</v>
      </c>
      <c r="AY57" s="52">
        <f t="shared" si="55"/>
        <v>73158.072650000002</v>
      </c>
      <c r="AZ57" s="52">
        <f t="shared" si="55"/>
        <v>73158.072650000002</v>
      </c>
      <c r="BA57" s="52">
        <f t="shared" si="56"/>
        <v>73158.072650000002</v>
      </c>
      <c r="BB57" s="52">
        <f t="shared" si="56"/>
        <v>73158.072650000002</v>
      </c>
      <c r="BC57" s="52">
        <f t="shared" si="56"/>
        <v>75352.814829499999</v>
      </c>
      <c r="BD57" s="52">
        <f t="shared" si="56"/>
        <v>75352.814829499999</v>
      </c>
      <c r="BE57" s="52">
        <f t="shared" si="56"/>
        <v>75352.814829499999</v>
      </c>
      <c r="BF57" s="52">
        <f t="shared" si="56"/>
        <v>75352.814829499999</v>
      </c>
      <c r="BG57" s="52">
        <f t="shared" si="56"/>
        <v>75352.814829499999</v>
      </c>
      <c r="BH57" s="52">
        <f t="shared" si="56"/>
        <v>75352.814829499999</v>
      </c>
      <c r="BI57" s="52">
        <f t="shared" si="56"/>
        <v>75352.814829499999</v>
      </c>
      <c r="BJ57" s="52">
        <f t="shared" si="56"/>
        <v>75352.814829499999</v>
      </c>
    </row>
    <row r="58" spans="1:69"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</row>
    <row r="59" spans="1:69">
      <c r="A59" s="49" t="s">
        <v>166</v>
      </c>
      <c r="B59" s="47" t="s">
        <v>1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</row>
    <row r="60" spans="1:69">
      <c r="A60" s="34" t="str">
        <f t="shared" ref="A60:A70" si="57">A117</f>
        <v>Производственный персонал</v>
      </c>
      <c r="B60" s="54" t="s">
        <v>250</v>
      </c>
      <c r="C60" s="98">
        <f t="shared" ref="C60:AH60" si="58">SUM(C61:C70)</f>
        <v>0</v>
      </c>
      <c r="D60" s="98">
        <f t="shared" si="58"/>
        <v>0</v>
      </c>
      <c r="E60" s="98">
        <f t="shared" si="58"/>
        <v>0</v>
      </c>
      <c r="F60" s="98">
        <f t="shared" si="58"/>
        <v>5359</v>
      </c>
      <c r="G60" s="98">
        <f t="shared" si="58"/>
        <v>5519.77</v>
      </c>
      <c r="H60" s="98">
        <f t="shared" si="58"/>
        <v>5519.77</v>
      </c>
      <c r="I60" s="98">
        <f t="shared" si="58"/>
        <v>5519.77</v>
      </c>
      <c r="J60" s="98">
        <f t="shared" si="58"/>
        <v>5519.77</v>
      </c>
      <c r="K60" s="98">
        <f t="shared" si="58"/>
        <v>5519.77</v>
      </c>
      <c r="L60" s="98">
        <f t="shared" si="58"/>
        <v>5519.77</v>
      </c>
      <c r="M60" s="98">
        <f t="shared" si="58"/>
        <v>5519.77</v>
      </c>
      <c r="N60" s="98">
        <f t="shared" si="58"/>
        <v>5519.77</v>
      </c>
      <c r="O60" s="98">
        <f t="shared" si="58"/>
        <v>5519.77</v>
      </c>
      <c r="P60" s="98">
        <f t="shared" si="58"/>
        <v>5519.77</v>
      </c>
      <c r="Q60" s="98">
        <f t="shared" si="58"/>
        <v>5519.77</v>
      </c>
      <c r="R60" s="98">
        <f t="shared" si="58"/>
        <v>5519.77</v>
      </c>
      <c r="S60" s="98">
        <f t="shared" si="58"/>
        <v>5685.3630999999996</v>
      </c>
      <c r="T60" s="98">
        <f t="shared" si="58"/>
        <v>5685.3630999999996</v>
      </c>
      <c r="U60" s="98">
        <f t="shared" si="58"/>
        <v>5685.3630999999996</v>
      </c>
      <c r="V60" s="98">
        <f t="shared" si="58"/>
        <v>5685.3630999999996</v>
      </c>
      <c r="W60" s="98">
        <f t="shared" si="58"/>
        <v>5685.3630999999996</v>
      </c>
      <c r="X60" s="98">
        <f t="shared" si="58"/>
        <v>5685.3630999999996</v>
      </c>
      <c r="Y60" s="98">
        <f t="shared" si="58"/>
        <v>5685.3630999999996</v>
      </c>
      <c r="Z60" s="98">
        <f t="shared" si="58"/>
        <v>5685.3630999999996</v>
      </c>
      <c r="AA60" s="98">
        <f t="shared" si="58"/>
        <v>5685.3630999999996</v>
      </c>
      <c r="AB60" s="98">
        <f t="shared" si="58"/>
        <v>5685.3630999999996</v>
      </c>
      <c r="AC60" s="98">
        <f t="shared" si="58"/>
        <v>5685.3630999999996</v>
      </c>
      <c r="AD60" s="98">
        <f t="shared" si="58"/>
        <v>5685.3630999999996</v>
      </c>
      <c r="AE60" s="98">
        <f t="shared" si="58"/>
        <v>5855.9239930000003</v>
      </c>
      <c r="AF60" s="98">
        <f t="shared" si="58"/>
        <v>5855.9239930000003</v>
      </c>
      <c r="AG60" s="98">
        <f t="shared" si="58"/>
        <v>5855.9239930000003</v>
      </c>
      <c r="AH60" s="98">
        <f t="shared" si="58"/>
        <v>5855.9239930000003</v>
      </c>
      <c r="AI60" s="98">
        <f t="shared" ref="AI60:BJ60" si="59">SUM(AI61:AI70)</f>
        <v>5855.9239930000003</v>
      </c>
      <c r="AJ60" s="98">
        <f t="shared" si="59"/>
        <v>5855.9239930000003</v>
      </c>
      <c r="AK60" s="98">
        <f t="shared" si="59"/>
        <v>5855.9239930000003</v>
      </c>
      <c r="AL60" s="98">
        <f t="shared" si="59"/>
        <v>5855.9239930000003</v>
      </c>
      <c r="AM60" s="98">
        <f t="shared" si="59"/>
        <v>5855.9239930000003</v>
      </c>
      <c r="AN60" s="98">
        <f t="shared" si="59"/>
        <v>5855.9239930000003</v>
      </c>
      <c r="AO60" s="98">
        <f t="shared" si="59"/>
        <v>5855.9239930000003</v>
      </c>
      <c r="AP60" s="98">
        <f t="shared" si="59"/>
        <v>5855.9239930000003</v>
      </c>
      <c r="AQ60" s="98">
        <f t="shared" si="59"/>
        <v>6031.6017127899995</v>
      </c>
      <c r="AR60" s="98">
        <f t="shared" si="59"/>
        <v>6031.6017127899995</v>
      </c>
      <c r="AS60" s="98">
        <f t="shared" si="59"/>
        <v>6031.6017127899995</v>
      </c>
      <c r="AT60" s="98">
        <f t="shared" si="59"/>
        <v>6031.6017127899995</v>
      </c>
      <c r="AU60" s="98">
        <f t="shared" si="59"/>
        <v>6031.6017127899995</v>
      </c>
      <c r="AV60" s="98">
        <f t="shared" si="59"/>
        <v>6031.6017127899995</v>
      </c>
      <c r="AW60" s="98">
        <f t="shared" si="59"/>
        <v>6031.6017127899995</v>
      </c>
      <c r="AX60" s="98">
        <f t="shared" si="59"/>
        <v>6031.6017127899995</v>
      </c>
      <c r="AY60" s="98">
        <f t="shared" si="59"/>
        <v>6031.6017127899995</v>
      </c>
      <c r="AZ60" s="98">
        <f t="shared" si="59"/>
        <v>6031.6017127899995</v>
      </c>
      <c r="BA60" s="98">
        <f t="shared" si="59"/>
        <v>6031.6017127899995</v>
      </c>
      <c r="BB60" s="98">
        <f t="shared" si="59"/>
        <v>6031.6017127899995</v>
      </c>
      <c r="BC60" s="98">
        <f t="shared" si="59"/>
        <v>6212.5497641736993</v>
      </c>
      <c r="BD60" s="98">
        <f t="shared" si="59"/>
        <v>6212.5497641736993</v>
      </c>
      <c r="BE60" s="98">
        <f t="shared" si="59"/>
        <v>6212.5497641736993</v>
      </c>
      <c r="BF60" s="98">
        <f t="shared" si="59"/>
        <v>6212.5497641736993</v>
      </c>
      <c r="BG60" s="98">
        <f t="shared" si="59"/>
        <v>6212.5497641736993</v>
      </c>
      <c r="BH60" s="98">
        <f t="shared" si="59"/>
        <v>6212.5497641736993</v>
      </c>
      <c r="BI60" s="98">
        <f t="shared" si="59"/>
        <v>6212.5497641736993</v>
      </c>
      <c r="BJ60" s="98">
        <f t="shared" si="59"/>
        <v>6212.5497641736993</v>
      </c>
      <c r="BL60" s="24">
        <f t="shared" ref="BL60:BQ69" si="60">SUMIF($C$2:$BJ$2,BL$2,$C60:$BJ60)</f>
        <v>5359</v>
      </c>
      <c r="BM60" s="24">
        <f t="shared" si="60"/>
        <v>66237.24000000002</v>
      </c>
      <c r="BN60" s="24">
        <f t="shared" si="60"/>
        <v>68224.357200000013</v>
      </c>
      <c r="BO60" s="24">
        <f t="shared" si="60"/>
        <v>70271.087916000019</v>
      </c>
      <c r="BP60" s="24">
        <f t="shared" si="60"/>
        <v>72379.220553479987</v>
      </c>
      <c r="BQ60" s="24">
        <f t="shared" si="60"/>
        <v>49700.398113389601</v>
      </c>
    </row>
    <row r="61" spans="1:69">
      <c r="A61" s="30" t="str">
        <f t="shared" si="57"/>
        <v>Лаборант-микробиолог</v>
      </c>
      <c r="B61" s="75" t="s">
        <v>251</v>
      </c>
      <c r="C61" s="176">
        <f t="shared" ref="C61:AH61" si="61">C36*C10/1000</f>
        <v>0</v>
      </c>
      <c r="D61" s="176">
        <f t="shared" si="61"/>
        <v>0</v>
      </c>
      <c r="E61" s="176">
        <f t="shared" si="61"/>
        <v>0</v>
      </c>
      <c r="F61" s="176">
        <f t="shared" si="61"/>
        <v>156</v>
      </c>
      <c r="G61" s="176">
        <f t="shared" si="61"/>
        <v>160.68</v>
      </c>
      <c r="H61" s="176">
        <f t="shared" si="61"/>
        <v>160.68</v>
      </c>
      <c r="I61" s="176">
        <f t="shared" si="61"/>
        <v>160.68</v>
      </c>
      <c r="J61" s="176">
        <f t="shared" si="61"/>
        <v>160.68</v>
      </c>
      <c r="K61" s="176">
        <f t="shared" si="61"/>
        <v>160.68</v>
      </c>
      <c r="L61" s="176">
        <f t="shared" si="61"/>
        <v>160.68</v>
      </c>
      <c r="M61" s="176">
        <f t="shared" si="61"/>
        <v>160.68</v>
      </c>
      <c r="N61" s="176">
        <f t="shared" si="61"/>
        <v>160.68</v>
      </c>
      <c r="O61" s="176">
        <f t="shared" si="61"/>
        <v>160.68</v>
      </c>
      <c r="P61" s="176">
        <f t="shared" si="61"/>
        <v>160.68</v>
      </c>
      <c r="Q61" s="176">
        <f t="shared" si="61"/>
        <v>160.68</v>
      </c>
      <c r="R61" s="176">
        <f t="shared" si="61"/>
        <v>160.68</v>
      </c>
      <c r="S61" s="176">
        <f t="shared" si="61"/>
        <v>165.50039999999998</v>
      </c>
      <c r="T61" s="176">
        <f t="shared" si="61"/>
        <v>165.50039999999998</v>
      </c>
      <c r="U61" s="176">
        <f t="shared" si="61"/>
        <v>165.50039999999998</v>
      </c>
      <c r="V61" s="176">
        <f t="shared" si="61"/>
        <v>165.50039999999998</v>
      </c>
      <c r="W61" s="176">
        <f t="shared" si="61"/>
        <v>165.50039999999998</v>
      </c>
      <c r="X61" s="176">
        <f t="shared" si="61"/>
        <v>165.50039999999998</v>
      </c>
      <c r="Y61" s="176">
        <f t="shared" si="61"/>
        <v>165.50039999999998</v>
      </c>
      <c r="Z61" s="176">
        <f t="shared" si="61"/>
        <v>165.50039999999998</v>
      </c>
      <c r="AA61" s="176">
        <f t="shared" si="61"/>
        <v>165.50039999999998</v>
      </c>
      <c r="AB61" s="176">
        <f t="shared" si="61"/>
        <v>165.50039999999998</v>
      </c>
      <c r="AC61" s="176">
        <f t="shared" si="61"/>
        <v>165.50039999999998</v>
      </c>
      <c r="AD61" s="176">
        <f t="shared" si="61"/>
        <v>165.50039999999998</v>
      </c>
      <c r="AE61" s="176">
        <f t="shared" si="61"/>
        <v>170.46541200000001</v>
      </c>
      <c r="AF61" s="176">
        <f t="shared" si="61"/>
        <v>170.46541200000001</v>
      </c>
      <c r="AG61" s="176">
        <f t="shared" si="61"/>
        <v>170.46541200000001</v>
      </c>
      <c r="AH61" s="176">
        <f t="shared" si="61"/>
        <v>170.46541200000001</v>
      </c>
      <c r="AI61" s="176">
        <f t="shared" ref="AI61:BJ61" si="62">AI36*AI10/1000</f>
        <v>170.46541200000001</v>
      </c>
      <c r="AJ61" s="176">
        <f t="shared" si="62"/>
        <v>170.46541200000001</v>
      </c>
      <c r="AK61" s="176">
        <f t="shared" si="62"/>
        <v>170.46541200000001</v>
      </c>
      <c r="AL61" s="176">
        <f t="shared" si="62"/>
        <v>170.46541200000001</v>
      </c>
      <c r="AM61" s="176">
        <f t="shared" si="62"/>
        <v>170.46541200000001</v>
      </c>
      <c r="AN61" s="176">
        <f t="shared" si="62"/>
        <v>170.46541200000001</v>
      </c>
      <c r="AO61" s="176">
        <f t="shared" si="62"/>
        <v>170.46541200000001</v>
      </c>
      <c r="AP61" s="176">
        <f t="shared" si="62"/>
        <v>170.46541200000001</v>
      </c>
      <c r="AQ61" s="176">
        <f t="shared" si="62"/>
        <v>175.57937436</v>
      </c>
      <c r="AR61" s="176">
        <f t="shared" si="62"/>
        <v>175.57937436</v>
      </c>
      <c r="AS61" s="176">
        <f t="shared" si="62"/>
        <v>175.57937436</v>
      </c>
      <c r="AT61" s="176">
        <f t="shared" si="62"/>
        <v>175.57937436</v>
      </c>
      <c r="AU61" s="176">
        <f t="shared" si="62"/>
        <v>175.57937436</v>
      </c>
      <c r="AV61" s="176">
        <f t="shared" si="62"/>
        <v>175.57937436</v>
      </c>
      <c r="AW61" s="176">
        <f t="shared" si="62"/>
        <v>175.57937436</v>
      </c>
      <c r="AX61" s="176">
        <f t="shared" si="62"/>
        <v>175.57937436</v>
      </c>
      <c r="AY61" s="176">
        <f t="shared" si="62"/>
        <v>175.57937436</v>
      </c>
      <c r="AZ61" s="176">
        <f t="shared" si="62"/>
        <v>175.57937436</v>
      </c>
      <c r="BA61" s="176">
        <f t="shared" si="62"/>
        <v>175.57937436</v>
      </c>
      <c r="BB61" s="176">
        <f t="shared" si="62"/>
        <v>175.57937436</v>
      </c>
      <c r="BC61" s="176">
        <f t="shared" si="62"/>
        <v>180.84675559080003</v>
      </c>
      <c r="BD61" s="176">
        <f t="shared" si="62"/>
        <v>180.84675559080003</v>
      </c>
      <c r="BE61" s="176">
        <f t="shared" si="62"/>
        <v>180.84675559080003</v>
      </c>
      <c r="BF61" s="176">
        <f t="shared" si="62"/>
        <v>180.84675559080003</v>
      </c>
      <c r="BG61" s="176">
        <f t="shared" si="62"/>
        <v>180.84675559080003</v>
      </c>
      <c r="BH61" s="176">
        <f t="shared" si="62"/>
        <v>180.84675559080003</v>
      </c>
      <c r="BI61" s="176">
        <f t="shared" si="62"/>
        <v>180.84675559080003</v>
      </c>
      <c r="BJ61" s="176">
        <f t="shared" si="62"/>
        <v>180.84675559080003</v>
      </c>
      <c r="BK61" s="164"/>
      <c r="BL61" s="101">
        <f t="shared" si="60"/>
        <v>156</v>
      </c>
      <c r="BM61" s="101">
        <f t="shared" si="60"/>
        <v>1928.1600000000005</v>
      </c>
      <c r="BN61" s="101">
        <f t="shared" si="60"/>
        <v>1986.0047999999995</v>
      </c>
      <c r="BO61" s="101">
        <f t="shared" si="60"/>
        <v>2045.5849440000002</v>
      </c>
      <c r="BP61" s="101">
        <f t="shared" si="60"/>
        <v>2106.9524923200001</v>
      </c>
      <c r="BQ61" s="101">
        <f t="shared" si="60"/>
        <v>1446.7740447264002</v>
      </c>
    </row>
    <row r="62" spans="1:69">
      <c r="A62" s="30" t="str">
        <f t="shared" si="57"/>
        <v>Инженер-механик</v>
      </c>
      <c r="B62" s="75" t="s">
        <v>251</v>
      </c>
      <c r="C62" s="176">
        <f t="shared" ref="C62:AH62" si="63">C37*C11/1000</f>
        <v>0</v>
      </c>
      <c r="D62" s="176">
        <f t="shared" si="63"/>
        <v>0</v>
      </c>
      <c r="E62" s="176">
        <f t="shared" si="63"/>
        <v>0</v>
      </c>
      <c r="F62" s="176">
        <f t="shared" si="63"/>
        <v>243</v>
      </c>
      <c r="G62" s="176">
        <f t="shared" si="63"/>
        <v>250.29</v>
      </c>
      <c r="H62" s="176">
        <f t="shared" si="63"/>
        <v>250.29</v>
      </c>
      <c r="I62" s="176">
        <f t="shared" si="63"/>
        <v>250.29</v>
      </c>
      <c r="J62" s="176">
        <f t="shared" si="63"/>
        <v>250.29</v>
      </c>
      <c r="K62" s="176">
        <f t="shared" si="63"/>
        <v>250.29</v>
      </c>
      <c r="L62" s="176">
        <f t="shared" si="63"/>
        <v>250.29</v>
      </c>
      <c r="M62" s="176">
        <f t="shared" si="63"/>
        <v>250.29</v>
      </c>
      <c r="N62" s="176">
        <f t="shared" si="63"/>
        <v>250.29</v>
      </c>
      <c r="O62" s="176">
        <f t="shared" si="63"/>
        <v>250.29</v>
      </c>
      <c r="P62" s="176">
        <f t="shared" si="63"/>
        <v>250.29</v>
      </c>
      <c r="Q62" s="176">
        <f t="shared" si="63"/>
        <v>250.29</v>
      </c>
      <c r="R62" s="176">
        <f t="shared" si="63"/>
        <v>250.29</v>
      </c>
      <c r="S62" s="176">
        <f t="shared" si="63"/>
        <v>257.7987</v>
      </c>
      <c r="T62" s="176">
        <f t="shared" si="63"/>
        <v>257.7987</v>
      </c>
      <c r="U62" s="176">
        <f t="shared" si="63"/>
        <v>257.7987</v>
      </c>
      <c r="V62" s="176">
        <f t="shared" si="63"/>
        <v>257.7987</v>
      </c>
      <c r="W62" s="176">
        <f t="shared" si="63"/>
        <v>257.7987</v>
      </c>
      <c r="X62" s="176">
        <f t="shared" si="63"/>
        <v>257.7987</v>
      </c>
      <c r="Y62" s="176">
        <f t="shared" si="63"/>
        <v>257.7987</v>
      </c>
      <c r="Z62" s="176">
        <f t="shared" si="63"/>
        <v>257.7987</v>
      </c>
      <c r="AA62" s="176">
        <f t="shared" si="63"/>
        <v>257.7987</v>
      </c>
      <c r="AB62" s="176">
        <f t="shared" si="63"/>
        <v>257.7987</v>
      </c>
      <c r="AC62" s="176">
        <f t="shared" si="63"/>
        <v>257.7987</v>
      </c>
      <c r="AD62" s="176">
        <f t="shared" si="63"/>
        <v>257.7987</v>
      </c>
      <c r="AE62" s="176">
        <f t="shared" si="63"/>
        <v>265.53266100000002</v>
      </c>
      <c r="AF62" s="176">
        <f t="shared" si="63"/>
        <v>265.53266100000002</v>
      </c>
      <c r="AG62" s="176">
        <f t="shared" si="63"/>
        <v>265.53266100000002</v>
      </c>
      <c r="AH62" s="176">
        <f t="shared" si="63"/>
        <v>265.53266100000002</v>
      </c>
      <c r="AI62" s="176">
        <f t="shared" ref="AI62:BJ62" si="64">AI37*AI11/1000</f>
        <v>265.53266100000002</v>
      </c>
      <c r="AJ62" s="176">
        <f t="shared" si="64"/>
        <v>265.53266100000002</v>
      </c>
      <c r="AK62" s="176">
        <f t="shared" si="64"/>
        <v>265.53266100000002</v>
      </c>
      <c r="AL62" s="176">
        <f t="shared" si="64"/>
        <v>265.53266100000002</v>
      </c>
      <c r="AM62" s="176">
        <f t="shared" si="64"/>
        <v>265.53266100000002</v>
      </c>
      <c r="AN62" s="176">
        <f t="shared" si="64"/>
        <v>265.53266100000002</v>
      </c>
      <c r="AO62" s="176">
        <f t="shared" si="64"/>
        <v>265.53266100000002</v>
      </c>
      <c r="AP62" s="176">
        <f t="shared" si="64"/>
        <v>265.53266100000002</v>
      </c>
      <c r="AQ62" s="176">
        <f t="shared" si="64"/>
        <v>273.49864083000006</v>
      </c>
      <c r="AR62" s="176">
        <f t="shared" si="64"/>
        <v>273.49864083000006</v>
      </c>
      <c r="AS62" s="176">
        <f t="shared" si="64"/>
        <v>273.49864083000006</v>
      </c>
      <c r="AT62" s="176">
        <f t="shared" si="64"/>
        <v>273.49864083000006</v>
      </c>
      <c r="AU62" s="176">
        <f t="shared" si="64"/>
        <v>273.49864083000006</v>
      </c>
      <c r="AV62" s="176">
        <f t="shared" si="64"/>
        <v>273.49864083000006</v>
      </c>
      <c r="AW62" s="176">
        <f t="shared" si="64"/>
        <v>273.49864083000006</v>
      </c>
      <c r="AX62" s="176">
        <f t="shared" si="64"/>
        <v>273.49864083000006</v>
      </c>
      <c r="AY62" s="176">
        <f t="shared" si="64"/>
        <v>273.49864083000006</v>
      </c>
      <c r="AZ62" s="176">
        <f t="shared" si="64"/>
        <v>273.49864083000006</v>
      </c>
      <c r="BA62" s="176">
        <f t="shared" si="64"/>
        <v>273.49864083000006</v>
      </c>
      <c r="BB62" s="176">
        <f t="shared" si="64"/>
        <v>273.49864083000006</v>
      </c>
      <c r="BC62" s="176">
        <f t="shared" si="64"/>
        <v>281.70360005490005</v>
      </c>
      <c r="BD62" s="176">
        <f t="shared" si="64"/>
        <v>281.70360005490005</v>
      </c>
      <c r="BE62" s="176">
        <f t="shared" si="64"/>
        <v>281.70360005490005</v>
      </c>
      <c r="BF62" s="176">
        <f t="shared" si="64"/>
        <v>281.70360005490005</v>
      </c>
      <c r="BG62" s="176">
        <f t="shared" si="64"/>
        <v>281.70360005490005</v>
      </c>
      <c r="BH62" s="176">
        <f t="shared" si="64"/>
        <v>281.70360005490005</v>
      </c>
      <c r="BI62" s="176">
        <f t="shared" si="64"/>
        <v>281.70360005490005</v>
      </c>
      <c r="BJ62" s="176">
        <f t="shared" si="64"/>
        <v>281.70360005490005</v>
      </c>
      <c r="BL62" s="101">
        <f t="shared" si="60"/>
        <v>243</v>
      </c>
      <c r="BM62" s="101">
        <f t="shared" si="60"/>
        <v>3003.48</v>
      </c>
      <c r="BN62" s="101">
        <f t="shared" si="60"/>
        <v>3093.5843999999993</v>
      </c>
      <c r="BO62" s="101">
        <f t="shared" si="60"/>
        <v>3186.3919320000009</v>
      </c>
      <c r="BP62" s="101">
        <f t="shared" si="60"/>
        <v>3281.9836899600009</v>
      </c>
      <c r="BQ62" s="101">
        <f t="shared" si="60"/>
        <v>2253.6288004392004</v>
      </c>
    </row>
    <row r="63" spans="1:69">
      <c r="A63" s="30" t="str">
        <f t="shared" si="57"/>
        <v>Электрик/слесарь-ремонтник</v>
      </c>
      <c r="B63" s="75" t="s">
        <v>251</v>
      </c>
      <c r="C63" s="176">
        <f t="shared" ref="C63:AH63" si="65">C38*C12/1000</f>
        <v>0</v>
      </c>
      <c r="D63" s="176">
        <f t="shared" si="65"/>
        <v>0</v>
      </c>
      <c r="E63" s="176">
        <f t="shared" si="65"/>
        <v>0</v>
      </c>
      <c r="F63" s="176">
        <f t="shared" si="65"/>
        <v>196</v>
      </c>
      <c r="G63" s="176">
        <f t="shared" si="65"/>
        <v>201.88</v>
      </c>
      <c r="H63" s="176">
        <f t="shared" si="65"/>
        <v>201.88</v>
      </c>
      <c r="I63" s="176">
        <f t="shared" si="65"/>
        <v>201.88</v>
      </c>
      <c r="J63" s="176">
        <f t="shared" si="65"/>
        <v>201.88</v>
      </c>
      <c r="K63" s="176">
        <f t="shared" si="65"/>
        <v>201.88</v>
      </c>
      <c r="L63" s="176">
        <f t="shared" si="65"/>
        <v>201.88</v>
      </c>
      <c r="M63" s="176">
        <f t="shared" si="65"/>
        <v>201.88</v>
      </c>
      <c r="N63" s="176">
        <f t="shared" si="65"/>
        <v>201.88</v>
      </c>
      <c r="O63" s="176">
        <f t="shared" si="65"/>
        <v>201.88</v>
      </c>
      <c r="P63" s="176">
        <f t="shared" si="65"/>
        <v>201.88</v>
      </c>
      <c r="Q63" s="176">
        <f t="shared" si="65"/>
        <v>201.88</v>
      </c>
      <c r="R63" s="176">
        <f t="shared" si="65"/>
        <v>201.88</v>
      </c>
      <c r="S63" s="176">
        <f t="shared" si="65"/>
        <v>207.93639999999999</v>
      </c>
      <c r="T63" s="176">
        <f t="shared" si="65"/>
        <v>207.93639999999999</v>
      </c>
      <c r="U63" s="176">
        <f t="shared" si="65"/>
        <v>207.93639999999999</v>
      </c>
      <c r="V63" s="176">
        <f t="shared" si="65"/>
        <v>207.93639999999999</v>
      </c>
      <c r="W63" s="176">
        <f t="shared" si="65"/>
        <v>207.93639999999999</v>
      </c>
      <c r="X63" s="176">
        <f t="shared" si="65"/>
        <v>207.93639999999999</v>
      </c>
      <c r="Y63" s="176">
        <f t="shared" si="65"/>
        <v>207.93639999999999</v>
      </c>
      <c r="Z63" s="176">
        <f t="shared" si="65"/>
        <v>207.93639999999999</v>
      </c>
      <c r="AA63" s="176">
        <f t="shared" si="65"/>
        <v>207.93639999999999</v>
      </c>
      <c r="AB63" s="176">
        <f t="shared" si="65"/>
        <v>207.93639999999999</v>
      </c>
      <c r="AC63" s="176">
        <f t="shared" si="65"/>
        <v>207.93639999999999</v>
      </c>
      <c r="AD63" s="176">
        <f t="shared" si="65"/>
        <v>207.93639999999999</v>
      </c>
      <c r="AE63" s="176">
        <f t="shared" si="65"/>
        <v>214.17449199999999</v>
      </c>
      <c r="AF63" s="176">
        <f t="shared" si="65"/>
        <v>214.17449199999999</v>
      </c>
      <c r="AG63" s="176">
        <f t="shared" si="65"/>
        <v>214.17449199999999</v>
      </c>
      <c r="AH63" s="176">
        <f t="shared" si="65"/>
        <v>214.17449199999999</v>
      </c>
      <c r="AI63" s="176">
        <f t="shared" ref="AI63:BJ63" si="66">AI38*AI12/1000</f>
        <v>214.17449199999999</v>
      </c>
      <c r="AJ63" s="176">
        <f t="shared" si="66"/>
        <v>214.17449199999999</v>
      </c>
      <c r="AK63" s="176">
        <f t="shared" si="66"/>
        <v>214.17449199999999</v>
      </c>
      <c r="AL63" s="176">
        <f t="shared" si="66"/>
        <v>214.17449199999999</v>
      </c>
      <c r="AM63" s="176">
        <f t="shared" si="66"/>
        <v>214.17449199999999</v>
      </c>
      <c r="AN63" s="176">
        <f t="shared" si="66"/>
        <v>214.17449199999999</v>
      </c>
      <c r="AO63" s="176">
        <f t="shared" si="66"/>
        <v>214.17449199999999</v>
      </c>
      <c r="AP63" s="176">
        <f t="shared" si="66"/>
        <v>214.17449199999999</v>
      </c>
      <c r="AQ63" s="176">
        <f t="shared" si="66"/>
        <v>220.59972676000001</v>
      </c>
      <c r="AR63" s="176">
        <f t="shared" si="66"/>
        <v>220.59972676000001</v>
      </c>
      <c r="AS63" s="176">
        <f t="shared" si="66"/>
        <v>220.59972676000001</v>
      </c>
      <c r="AT63" s="176">
        <f t="shared" si="66"/>
        <v>220.59972676000001</v>
      </c>
      <c r="AU63" s="176">
        <f t="shared" si="66"/>
        <v>220.59972676000001</v>
      </c>
      <c r="AV63" s="176">
        <f t="shared" si="66"/>
        <v>220.59972676000001</v>
      </c>
      <c r="AW63" s="176">
        <f t="shared" si="66"/>
        <v>220.59972676000001</v>
      </c>
      <c r="AX63" s="176">
        <f t="shared" si="66"/>
        <v>220.59972676000001</v>
      </c>
      <c r="AY63" s="176">
        <f t="shared" si="66"/>
        <v>220.59972676000001</v>
      </c>
      <c r="AZ63" s="176">
        <f t="shared" si="66"/>
        <v>220.59972676000001</v>
      </c>
      <c r="BA63" s="176">
        <f t="shared" si="66"/>
        <v>220.59972676000001</v>
      </c>
      <c r="BB63" s="176">
        <f t="shared" si="66"/>
        <v>220.59972676000001</v>
      </c>
      <c r="BC63" s="176">
        <f t="shared" si="66"/>
        <v>227.2177185628</v>
      </c>
      <c r="BD63" s="176">
        <f t="shared" si="66"/>
        <v>227.2177185628</v>
      </c>
      <c r="BE63" s="176">
        <f t="shared" si="66"/>
        <v>227.2177185628</v>
      </c>
      <c r="BF63" s="176">
        <f t="shared" si="66"/>
        <v>227.2177185628</v>
      </c>
      <c r="BG63" s="176">
        <f t="shared" si="66"/>
        <v>227.2177185628</v>
      </c>
      <c r="BH63" s="176">
        <f t="shared" si="66"/>
        <v>227.2177185628</v>
      </c>
      <c r="BI63" s="176">
        <f t="shared" si="66"/>
        <v>227.2177185628</v>
      </c>
      <c r="BJ63" s="176">
        <f t="shared" si="66"/>
        <v>227.2177185628</v>
      </c>
      <c r="BL63" s="101">
        <f t="shared" si="60"/>
        <v>196</v>
      </c>
      <c r="BM63" s="101">
        <f t="shared" si="60"/>
        <v>2422.5600000000004</v>
      </c>
      <c r="BN63" s="101">
        <f t="shared" si="60"/>
        <v>2495.2368000000001</v>
      </c>
      <c r="BO63" s="101">
        <f t="shared" si="60"/>
        <v>2570.0939040000007</v>
      </c>
      <c r="BP63" s="101">
        <f t="shared" si="60"/>
        <v>2647.1967211200003</v>
      </c>
      <c r="BQ63" s="101">
        <f t="shared" si="60"/>
        <v>1817.7417485024</v>
      </c>
    </row>
    <row r="64" spans="1:69">
      <c r="A64" s="30" t="str">
        <f t="shared" si="57"/>
        <v>Обвальщик/мясник</v>
      </c>
      <c r="B64" s="75" t="s">
        <v>251</v>
      </c>
      <c r="C64" s="176">
        <f t="shared" ref="C64:AH64" si="67">C39*C13/1000</f>
        <v>0</v>
      </c>
      <c r="D64" s="176">
        <f t="shared" si="67"/>
        <v>0</v>
      </c>
      <c r="E64" s="176">
        <f t="shared" si="67"/>
        <v>0</v>
      </c>
      <c r="F64" s="176">
        <f t="shared" si="67"/>
        <v>1900</v>
      </c>
      <c r="G64" s="176">
        <f t="shared" si="67"/>
        <v>1957</v>
      </c>
      <c r="H64" s="176">
        <f t="shared" si="67"/>
        <v>1957</v>
      </c>
      <c r="I64" s="176">
        <f t="shared" si="67"/>
        <v>1957</v>
      </c>
      <c r="J64" s="176">
        <f t="shared" si="67"/>
        <v>1957</v>
      </c>
      <c r="K64" s="176">
        <f t="shared" si="67"/>
        <v>1957</v>
      </c>
      <c r="L64" s="176">
        <f t="shared" si="67"/>
        <v>1957</v>
      </c>
      <c r="M64" s="176">
        <f t="shared" si="67"/>
        <v>1957</v>
      </c>
      <c r="N64" s="176">
        <f t="shared" si="67"/>
        <v>1957</v>
      </c>
      <c r="O64" s="176">
        <f t="shared" si="67"/>
        <v>1957</v>
      </c>
      <c r="P64" s="176">
        <f t="shared" si="67"/>
        <v>1957</v>
      </c>
      <c r="Q64" s="176">
        <f t="shared" si="67"/>
        <v>1957</v>
      </c>
      <c r="R64" s="176">
        <f t="shared" si="67"/>
        <v>1957</v>
      </c>
      <c r="S64" s="176">
        <f t="shared" si="67"/>
        <v>2015.71</v>
      </c>
      <c r="T64" s="176">
        <f t="shared" si="67"/>
        <v>2015.71</v>
      </c>
      <c r="U64" s="176">
        <f t="shared" si="67"/>
        <v>2015.71</v>
      </c>
      <c r="V64" s="176">
        <f t="shared" si="67"/>
        <v>2015.71</v>
      </c>
      <c r="W64" s="176">
        <f t="shared" si="67"/>
        <v>2015.71</v>
      </c>
      <c r="X64" s="176">
        <f t="shared" si="67"/>
        <v>2015.71</v>
      </c>
      <c r="Y64" s="176">
        <f t="shared" si="67"/>
        <v>2015.71</v>
      </c>
      <c r="Z64" s="176">
        <f t="shared" si="67"/>
        <v>2015.71</v>
      </c>
      <c r="AA64" s="176">
        <f t="shared" si="67"/>
        <v>2015.71</v>
      </c>
      <c r="AB64" s="176">
        <f t="shared" si="67"/>
        <v>2015.71</v>
      </c>
      <c r="AC64" s="176">
        <f t="shared" si="67"/>
        <v>2015.71</v>
      </c>
      <c r="AD64" s="176">
        <f t="shared" si="67"/>
        <v>2015.71</v>
      </c>
      <c r="AE64" s="176">
        <f t="shared" si="67"/>
        <v>2076.1813000000002</v>
      </c>
      <c r="AF64" s="176">
        <f t="shared" si="67"/>
        <v>2076.1813000000002</v>
      </c>
      <c r="AG64" s="176">
        <f t="shared" si="67"/>
        <v>2076.1813000000002</v>
      </c>
      <c r="AH64" s="176">
        <f t="shared" si="67"/>
        <v>2076.1813000000002</v>
      </c>
      <c r="AI64" s="176">
        <f t="shared" ref="AI64:BJ64" si="68">AI39*AI13/1000</f>
        <v>2076.1813000000002</v>
      </c>
      <c r="AJ64" s="176">
        <f t="shared" si="68"/>
        <v>2076.1813000000002</v>
      </c>
      <c r="AK64" s="176">
        <f t="shared" si="68"/>
        <v>2076.1813000000002</v>
      </c>
      <c r="AL64" s="176">
        <f t="shared" si="68"/>
        <v>2076.1813000000002</v>
      </c>
      <c r="AM64" s="176">
        <f t="shared" si="68"/>
        <v>2076.1813000000002</v>
      </c>
      <c r="AN64" s="176">
        <f t="shared" si="68"/>
        <v>2076.1813000000002</v>
      </c>
      <c r="AO64" s="176">
        <f t="shared" si="68"/>
        <v>2076.1813000000002</v>
      </c>
      <c r="AP64" s="176">
        <f t="shared" si="68"/>
        <v>2076.1813000000002</v>
      </c>
      <c r="AQ64" s="176">
        <f t="shared" si="68"/>
        <v>2138.466739</v>
      </c>
      <c r="AR64" s="176">
        <f t="shared" si="68"/>
        <v>2138.466739</v>
      </c>
      <c r="AS64" s="176">
        <f t="shared" si="68"/>
        <v>2138.466739</v>
      </c>
      <c r="AT64" s="176">
        <f t="shared" si="68"/>
        <v>2138.466739</v>
      </c>
      <c r="AU64" s="176">
        <f t="shared" si="68"/>
        <v>2138.466739</v>
      </c>
      <c r="AV64" s="176">
        <f t="shared" si="68"/>
        <v>2138.466739</v>
      </c>
      <c r="AW64" s="176">
        <f t="shared" si="68"/>
        <v>2138.466739</v>
      </c>
      <c r="AX64" s="176">
        <f t="shared" si="68"/>
        <v>2138.466739</v>
      </c>
      <c r="AY64" s="176">
        <f t="shared" si="68"/>
        <v>2138.466739</v>
      </c>
      <c r="AZ64" s="176">
        <f t="shared" si="68"/>
        <v>2138.466739</v>
      </c>
      <c r="BA64" s="176">
        <f t="shared" si="68"/>
        <v>2138.466739</v>
      </c>
      <c r="BB64" s="176">
        <f t="shared" si="68"/>
        <v>2138.466739</v>
      </c>
      <c r="BC64" s="176">
        <f t="shared" si="68"/>
        <v>2202.6207411700002</v>
      </c>
      <c r="BD64" s="176">
        <f t="shared" si="68"/>
        <v>2202.6207411700002</v>
      </c>
      <c r="BE64" s="176">
        <f t="shared" si="68"/>
        <v>2202.6207411700002</v>
      </c>
      <c r="BF64" s="176">
        <f t="shared" si="68"/>
        <v>2202.6207411700002</v>
      </c>
      <c r="BG64" s="176">
        <f t="shared" si="68"/>
        <v>2202.6207411700002</v>
      </c>
      <c r="BH64" s="176">
        <f t="shared" si="68"/>
        <v>2202.6207411700002</v>
      </c>
      <c r="BI64" s="176">
        <f t="shared" si="68"/>
        <v>2202.6207411700002</v>
      </c>
      <c r="BJ64" s="176">
        <f t="shared" si="68"/>
        <v>2202.6207411700002</v>
      </c>
      <c r="BL64" s="101">
        <f t="shared" si="60"/>
        <v>1900</v>
      </c>
      <c r="BM64" s="101">
        <f t="shared" si="60"/>
        <v>23484</v>
      </c>
      <c r="BN64" s="101">
        <f t="shared" si="60"/>
        <v>24188.519999999993</v>
      </c>
      <c r="BO64" s="101">
        <f t="shared" si="60"/>
        <v>24914.175600000002</v>
      </c>
      <c r="BP64" s="101">
        <f t="shared" si="60"/>
        <v>25661.600867999998</v>
      </c>
      <c r="BQ64" s="101">
        <f t="shared" si="60"/>
        <v>17620.965929360002</v>
      </c>
    </row>
    <row r="65" spans="1:69">
      <c r="A65" s="30" t="str">
        <f t="shared" si="57"/>
        <v>Рабочий убойного цеха</v>
      </c>
      <c r="B65" s="75" t="s">
        <v>251</v>
      </c>
      <c r="C65" s="176">
        <f t="shared" ref="C65:AH65" si="69">C40*C14/1000</f>
        <v>0</v>
      </c>
      <c r="D65" s="176">
        <f t="shared" si="69"/>
        <v>0</v>
      </c>
      <c r="E65" s="176">
        <f t="shared" si="69"/>
        <v>0</v>
      </c>
      <c r="F65" s="176">
        <f t="shared" si="69"/>
        <v>960</v>
      </c>
      <c r="G65" s="176">
        <f t="shared" si="69"/>
        <v>988.8</v>
      </c>
      <c r="H65" s="176">
        <f t="shared" si="69"/>
        <v>988.8</v>
      </c>
      <c r="I65" s="176">
        <f t="shared" si="69"/>
        <v>988.8</v>
      </c>
      <c r="J65" s="176">
        <f t="shared" si="69"/>
        <v>988.8</v>
      </c>
      <c r="K65" s="176">
        <f t="shared" si="69"/>
        <v>988.8</v>
      </c>
      <c r="L65" s="176">
        <f t="shared" si="69"/>
        <v>988.8</v>
      </c>
      <c r="M65" s="176">
        <f t="shared" si="69"/>
        <v>988.8</v>
      </c>
      <c r="N65" s="176">
        <f t="shared" si="69"/>
        <v>988.8</v>
      </c>
      <c r="O65" s="176">
        <f t="shared" si="69"/>
        <v>988.8</v>
      </c>
      <c r="P65" s="176">
        <f t="shared" si="69"/>
        <v>988.8</v>
      </c>
      <c r="Q65" s="176">
        <f t="shared" si="69"/>
        <v>988.8</v>
      </c>
      <c r="R65" s="176">
        <f t="shared" si="69"/>
        <v>988.8</v>
      </c>
      <c r="S65" s="176">
        <f t="shared" si="69"/>
        <v>1018.4640000000001</v>
      </c>
      <c r="T65" s="176">
        <f t="shared" si="69"/>
        <v>1018.4640000000001</v>
      </c>
      <c r="U65" s="176">
        <f t="shared" si="69"/>
        <v>1018.4640000000001</v>
      </c>
      <c r="V65" s="176">
        <f t="shared" si="69"/>
        <v>1018.4640000000001</v>
      </c>
      <c r="W65" s="176">
        <f t="shared" si="69"/>
        <v>1018.4640000000001</v>
      </c>
      <c r="X65" s="176">
        <f t="shared" si="69"/>
        <v>1018.4640000000001</v>
      </c>
      <c r="Y65" s="176">
        <f t="shared" si="69"/>
        <v>1018.4640000000001</v>
      </c>
      <c r="Z65" s="176">
        <f t="shared" si="69"/>
        <v>1018.4640000000001</v>
      </c>
      <c r="AA65" s="176">
        <f t="shared" si="69"/>
        <v>1018.4640000000001</v>
      </c>
      <c r="AB65" s="176">
        <f t="shared" si="69"/>
        <v>1018.4640000000001</v>
      </c>
      <c r="AC65" s="176">
        <f t="shared" si="69"/>
        <v>1018.4640000000001</v>
      </c>
      <c r="AD65" s="176">
        <f t="shared" si="69"/>
        <v>1018.4640000000001</v>
      </c>
      <c r="AE65" s="176">
        <f t="shared" si="69"/>
        <v>1049.01792</v>
      </c>
      <c r="AF65" s="176">
        <f t="shared" si="69"/>
        <v>1049.01792</v>
      </c>
      <c r="AG65" s="176">
        <f t="shared" si="69"/>
        <v>1049.01792</v>
      </c>
      <c r="AH65" s="176">
        <f t="shared" si="69"/>
        <v>1049.01792</v>
      </c>
      <c r="AI65" s="176">
        <f t="shared" ref="AI65:BJ65" si="70">AI40*AI14/1000</f>
        <v>1049.01792</v>
      </c>
      <c r="AJ65" s="176">
        <f t="shared" si="70"/>
        <v>1049.01792</v>
      </c>
      <c r="AK65" s="176">
        <f t="shared" si="70"/>
        <v>1049.01792</v>
      </c>
      <c r="AL65" s="176">
        <f t="shared" si="70"/>
        <v>1049.01792</v>
      </c>
      <c r="AM65" s="176">
        <f t="shared" si="70"/>
        <v>1049.01792</v>
      </c>
      <c r="AN65" s="176">
        <f t="shared" si="70"/>
        <v>1049.01792</v>
      </c>
      <c r="AO65" s="176">
        <f t="shared" si="70"/>
        <v>1049.01792</v>
      </c>
      <c r="AP65" s="176">
        <f t="shared" si="70"/>
        <v>1049.01792</v>
      </c>
      <c r="AQ65" s="176">
        <f t="shared" si="70"/>
        <v>1080.4884576000002</v>
      </c>
      <c r="AR65" s="176">
        <f t="shared" si="70"/>
        <v>1080.4884576000002</v>
      </c>
      <c r="AS65" s="176">
        <f t="shared" si="70"/>
        <v>1080.4884576000002</v>
      </c>
      <c r="AT65" s="176">
        <f t="shared" si="70"/>
        <v>1080.4884576000002</v>
      </c>
      <c r="AU65" s="176">
        <f t="shared" si="70"/>
        <v>1080.4884576000002</v>
      </c>
      <c r="AV65" s="176">
        <f t="shared" si="70"/>
        <v>1080.4884576000002</v>
      </c>
      <c r="AW65" s="176">
        <f t="shared" si="70"/>
        <v>1080.4884576000002</v>
      </c>
      <c r="AX65" s="176">
        <f t="shared" si="70"/>
        <v>1080.4884576000002</v>
      </c>
      <c r="AY65" s="176">
        <f t="shared" si="70"/>
        <v>1080.4884576000002</v>
      </c>
      <c r="AZ65" s="176">
        <f t="shared" si="70"/>
        <v>1080.4884576000002</v>
      </c>
      <c r="BA65" s="176">
        <f t="shared" si="70"/>
        <v>1080.4884576000002</v>
      </c>
      <c r="BB65" s="176">
        <f t="shared" si="70"/>
        <v>1080.4884576000002</v>
      </c>
      <c r="BC65" s="176">
        <f t="shared" si="70"/>
        <v>1112.903111328</v>
      </c>
      <c r="BD65" s="176">
        <f t="shared" si="70"/>
        <v>1112.903111328</v>
      </c>
      <c r="BE65" s="176">
        <f t="shared" si="70"/>
        <v>1112.903111328</v>
      </c>
      <c r="BF65" s="176">
        <f t="shared" si="70"/>
        <v>1112.903111328</v>
      </c>
      <c r="BG65" s="176">
        <f t="shared" si="70"/>
        <v>1112.903111328</v>
      </c>
      <c r="BH65" s="176">
        <f t="shared" si="70"/>
        <v>1112.903111328</v>
      </c>
      <c r="BI65" s="176">
        <f t="shared" si="70"/>
        <v>1112.903111328</v>
      </c>
      <c r="BJ65" s="176">
        <f t="shared" si="70"/>
        <v>1112.903111328</v>
      </c>
      <c r="BL65" s="101">
        <f t="shared" si="60"/>
        <v>960</v>
      </c>
      <c r="BM65" s="101">
        <f t="shared" si="60"/>
        <v>11865.599999999999</v>
      </c>
      <c r="BN65" s="101">
        <f t="shared" si="60"/>
        <v>12221.568000000001</v>
      </c>
      <c r="BO65" s="101">
        <f t="shared" si="60"/>
        <v>12588.215040000001</v>
      </c>
      <c r="BP65" s="101">
        <f t="shared" si="60"/>
        <v>12965.861491200003</v>
      </c>
      <c r="BQ65" s="101">
        <f t="shared" si="60"/>
        <v>8903.2248906240002</v>
      </c>
    </row>
    <row r="66" spans="1:69">
      <c r="A66" s="30" t="str">
        <f t="shared" si="57"/>
        <v>Оператор упаковки/шоковой заморозки</v>
      </c>
      <c r="B66" s="75" t="s">
        <v>251</v>
      </c>
      <c r="C66" s="176">
        <f t="shared" ref="C66:AH66" si="71">C41*C15/1000</f>
        <v>0</v>
      </c>
      <c r="D66" s="176">
        <f t="shared" si="71"/>
        <v>0</v>
      </c>
      <c r="E66" s="176">
        <f t="shared" si="71"/>
        <v>0</v>
      </c>
      <c r="F66" s="176">
        <f t="shared" si="71"/>
        <v>500</v>
      </c>
      <c r="G66" s="176">
        <f t="shared" si="71"/>
        <v>515</v>
      </c>
      <c r="H66" s="176">
        <f t="shared" si="71"/>
        <v>515</v>
      </c>
      <c r="I66" s="176">
        <f t="shared" si="71"/>
        <v>515</v>
      </c>
      <c r="J66" s="176">
        <f t="shared" si="71"/>
        <v>515</v>
      </c>
      <c r="K66" s="176">
        <f t="shared" si="71"/>
        <v>515</v>
      </c>
      <c r="L66" s="176">
        <f t="shared" si="71"/>
        <v>515</v>
      </c>
      <c r="M66" s="176">
        <f t="shared" si="71"/>
        <v>515</v>
      </c>
      <c r="N66" s="176">
        <f t="shared" si="71"/>
        <v>515</v>
      </c>
      <c r="O66" s="176">
        <f t="shared" si="71"/>
        <v>515</v>
      </c>
      <c r="P66" s="176">
        <f t="shared" si="71"/>
        <v>515</v>
      </c>
      <c r="Q66" s="176">
        <f t="shared" si="71"/>
        <v>515</v>
      </c>
      <c r="R66" s="176">
        <f t="shared" si="71"/>
        <v>515</v>
      </c>
      <c r="S66" s="176">
        <f t="shared" si="71"/>
        <v>530.45000000000005</v>
      </c>
      <c r="T66" s="176">
        <f t="shared" si="71"/>
        <v>530.45000000000005</v>
      </c>
      <c r="U66" s="176">
        <f t="shared" si="71"/>
        <v>530.45000000000005</v>
      </c>
      <c r="V66" s="176">
        <f t="shared" si="71"/>
        <v>530.45000000000005</v>
      </c>
      <c r="W66" s="176">
        <f t="shared" si="71"/>
        <v>530.45000000000005</v>
      </c>
      <c r="X66" s="176">
        <f t="shared" si="71"/>
        <v>530.45000000000005</v>
      </c>
      <c r="Y66" s="176">
        <f t="shared" si="71"/>
        <v>530.45000000000005</v>
      </c>
      <c r="Z66" s="176">
        <f t="shared" si="71"/>
        <v>530.45000000000005</v>
      </c>
      <c r="AA66" s="176">
        <f t="shared" si="71"/>
        <v>530.45000000000005</v>
      </c>
      <c r="AB66" s="176">
        <f t="shared" si="71"/>
        <v>530.45000000000005</v>
      </c>
      <c r="AC66" s="176">
        <f t="shared" si="71"/>
        <v>530.45000000000005</v>
      </c>
      <c r="AD66" s="176">
        <f t="shared" si="71"/>
        <v>530.45000000000005</v>
      </c>
      <c r="AE66" s="176">
        <f t="shared" si="71"/>
        <v>546.36350000000004</v>
      </c>
      <c r="AF66" s="176">
        <f t="shared" si="71"/>
        <v>546.36350000000004</v>
      </c>
      <c r="AG66" s="176">
        <f t="shared" si="71"/>
        <v>546.36350000000004</v>
      </c>
      <c r="AH66" s="176">
        <f t="shared" si="71"/>
        <v>546.36350000000004</v>
      </c>
      <c r="AI66" s="176">
        <f t="shared" ref="AI66:BJ66" si="72">AI41*AI15/1000</f>
        <v>546.36350000000004</v>
      </c>
      <c r="AJ66" s="176">
        <f t="shared" si="72"/>
        <v>546.36350000000004</v>
      </c>
      <c r="AK66" s="176">
        <f t="shared" si="72"/>
        <v>546.36350000000004</v>
      </c>
      <c r="AL66" s="176">
        <f t="shared" si="72"/>
        <v>546.36350000000004</v>
      </c>
      <c r="AM66" s="176">
        <f t="shared" si="72"/>
        <v>546.36350000000004</v>
      </c>
      <c r="AN66" s="176">
        <f t="shared" si="72"/>
        <v>546.36350000000004</v>
      </c>
      <c r="AO66" s="176">
        <f t="shared" si="72"/>
        <v>546.36350000000004</v>
      </c>
      <c r="AP66" s="176">
        <f t="shared" si="72"/>
        <v>546.36350000000004</v>
      </c>
      <c r="AQ66" s="176">
        <f t="shared" si="72"/>
        <v>562.75440500000002</v>
      </c>
      <c r="AR66" s="176">
        <f t="shared" si="72"/>
        <v>562.75440500000002</v>
      </c>
      <c r="AS66" s="176">
        <f t="shared" si="72"/>
        <v>562.75440500000002</v>
      </c>
      <c r="AT66" s="176">
        <f t="shared" si="72"/>
        <v>562.75440500000002</v>
      </c>
      <c r="AU66" s="176">
        <f t="shared" si="72"/>
        <v>562.75440500000002</v>
      </c>
      <c r="AV66" s="176">
        <f t="shared" si="72"/>
        <v>562.75440500000002</v>
      </c>
      <c r="AW66" s="176">
        <f t="shared" si="72"/>
        <v>562.75440500000002</v>
      </c>
      <c r="AX66" s="176">
        <f t="shared" si="72"/>
        <v>562.75440500000002</v>
      </c>
      <c r="AY66" s="176">
        <f t="shared" si="72"/>
        <v>562.75440500000002</v>
      </c>
      <c r="AZ66" s="176">
        <f t="shared" si="72"/>
        <v>562.75440500000002</v>
      </c>
      <c r="BA66" s="176">
        <f t="shared" si="72"/>
        <v>562.75440500000002</v>
      </c>
      <c r="BB66" s="176">
        <f t="shared" si="72"/>
        <v>562.75440500000002</v>
      </c>
      <c r="BC66" s="176">
        <f t="shared" si="72"/>
        <v>579.63703714999997</v>
      </c>
      <c r="BD66" s="176">
        <f t="shared" si="72"/>
        <v>579.63703714999997</v>
      </c>
      <c r="BE66" s="176">
        <f t="shared" si="72"/>
        <v>579.63703714999997</v>
      </c>
      <c r="BF66" s="176">
        <f t="shared" si="72"/>
        <v>579.63703714999997</v>
      </c>
      <c r="BG66" s="176">
        <f t="shared" si="72"/>
        <v>579.63703714999997</v>
      </c>
      <c r="BH66" s="176">
        <f t="shared" si="72"/>
        <v>579.63703714999997</v>
      </c>
      <c r="BI66" s="176">
        <f t="shared" si="72"/>
        <v>579.63703714999997</v>
      </c>
      <c r="BJ66" s="176">
        <f t="shared" si="72"/>
        <v>579.63703714999997</v>
      </c>
      <c r="BL66" s="101">
        <f t="shared" si="60"/>
        <v>500</v>
      </c>
      <c r="BM66" s="101">
        <f t="shared" si="60"/>
        <v>6180</v>
      </c>
      <c r="BN66" s="101">
        <f t="shared" si="60"/>
        <v>6365.3999999999987</v>
      </c>
      <c r="BO66" s="101">
        <f t="shared" si="60"/>
        <v>6556.3620000000019</v>
      </c>
      <c r="BP66" s="101">
        <f t="shared" si="60"/>
        <v>6753.0528599999989</v>
      </c>
      <c r="BQ66" s="101">
        <f t="shared" si="60"/>
        <v>4637.0962971999988</v>
      </c>
    </row>
    <row r="67" spans="1:69">
      <c r="A67" s="30" t="str">
        <f t="shared" si="57"/>
        <v>Оператор маринования/фасовки</v>
      </c>
      <c r="B67" s="75" t="s">
        <v>251</v>
      </c>
      <c r="C67" s="176">
        <f t="shared" ref="C67:AH67" si="73">C42*C16/1000</f>
        <v>0</v>
      </c>
      <c r="D67" s="176">
        <f t="shared" si="73"/>
        <v>0</v>
      </c>
      <c r="E67" s="176">
        <f t="shared" si="73"/>
        <v>0</v>
      </c>
      <c r="F67" s="176">
        <f t="shared" si="73"/>
        <v>400</v>
      </c>
      <c r="G67" s="176">
        <f t="shared" si="73"/>
        <v>412</v>
      </c>
      <c r="H67" s="176">
        <f t="shared" si="73"/>
        <v>412</v>
      </c>
      <c r="I67" s="176">
        <f t="shared" si="73"/>
        <v>412</v>
      </c>
      <c r="J67" s="176">
        <f t="shared" si="73"/>
        <v>412</v>
      </c>
      <c r="K67" s="176">
        <f t="shared" si="73"/>
        <v>412</v>
      </c>
      <c r="L67" s="176">
        <f t="shared" si="73"/>
        <v>412</v>
      </c>
      <c r="M67" s="176">
        <f t="shared" si="73"/>
        <v>412</v>
      </c>
      <c r="N67" s="176">
        <f t="shared" si="73"/>
        <v>412</v>
      </c>
      <c r="O67" s="176">
        <f t="shared" si="73"/>
        <v>412</v>
      </c>
      <c r="P67" s="176">
        <f t="shared" si="73"/>
        <v>412</v>
      </c>
      <c r="Q67" s="176">
        <f t="shared" si="73"/>
        <v>412</v>
      </c>
      <c r="R67" s="176">
        <f t="shared" si="73"/>
        <v>412</v>
      </c>
      <c r="S67" s="176">
        <f t="shared" si="73"/>
        <v>424.36</v>
      </c>
      <c r="T67" s="176">
        <f t="shared" si="73"/>
        <v>424.36</v>
      </c>
      <c r="U67" s="176">
        <f t="shared" si="73"/>
        <v>424.36</v>
      </c>
      <c r="V67" s="176">
        <f t="shared" si="73"/>
        <v>424.36</v>
      </c>
      <c r="W67" s="176">
        <f t="shared" si="73"/>
        <v>424.36</v>
      </c>
      <c r="X67" s="176">
        <f t="shared" si="73"/>
        <v>424.36</v>
      </c>
      <c r="Y67" s="176">
        <f t="shared" si="73"/>
        <v>424.36</v>
      </c>
      <c r="Z67" s="176">
        <f t="shared" si="73"/>
        <v>424.36</v>
      </c>
      <c r="AA67" s="176">
        <f t="shared" si="73"/>
        <v>424.36</v>
      </c>
      <c r="AB67" s="176">
        <f t="shared" si="73"/>
        <v>424.36</v>
      </c>
      <c r="AC67" s="176">
        <f t="shared" si="73"/>
        <v>424.36</v>
      </c>
      <c r="AD67" s="176">
        <f t="shared" si="73"/>
        <v>424.36</v>
      </c>
      <c r="AE67" s="176">
        <f t="shared" si="73"/>
        <v>437.0908</v>
      </c>
      <c r="AF67" s="176">
        <f t="shared" si="73"/>
        <v>437.0908</v>
      </c>
      <c r="AG67" s="176">
        <f t="shared" si="73"/>
        <v>437.0908</v>
      </c>
      <c r="AH67" s="176">
        <f t="shared" si="73"/>
        <v>437.0908</v>
      </c>
      <c r="AI67" s="176">
        <f t="shared" ref="AI67:BJ67" si="74">AI42*AI16/1000</f>
        <v>437.0908</v>
      </c>
      <c r="AJ67" s="176">
        <f t="shared" si="74"/>
        <v>437.0908</v>
      </c>
      <c r="AK67" s="176">
        <f t="shared" si="74"/>
        <v>437.0908</v>
      </c>
      <c r="AL67" s="176">
        <f t="shared" si="74"/>
        <v>437.0908</v>
      </c>
      <c r="AM67" s="176">
        <f t="shared" si="74"/>
        <v>437.0908</v>
      </c>
      <c r="AN67" s="176">
        <f t="shared" si="74"/>
        <v>437.0908</v>
      </c>
      <c r="AO67" s="176">
        <f t="shared" si="74"/>
        <v>437.0908</v>
      </c>
      <c r="AP67" s="176">
        <f t="shared" si="74"/>
        <v>437.0908</v>
      </c>
      <c r="AQ67" s="176">
        <f t="shared" si="74"/>
        <v>450.20352400000002</v>
      </c>
      <c r="AR67" s="176">
        <f t="shared" si="74"/>
        <v>450.20352400000002</v>
      </c>
      <c r="AS67" s="176">
        <f t="shared" si="74"/>
        <v>450.20352400000002</v>
      </c>
      <c r="AT67" s="176">
        <f t="shared" si="74"/>
        <v>450.20352400000002</v>
      </c>
      <c r="AU67" s="176">
        <f t="shared" si="74"/>
        <v>450.20352400000002</v>
      </c>
      <c r="AV67" s="176">
        <f t="shared" si="74"/>
        <v>450.20352400000002</v>
      </c>
      <c r="AW67" s="176">
        <f t="shared" si="74"/>
        <v>450.20352400000002</v>
      </c>
      <c r="AX67" s="176">
        <f t="shared" si="74"/>
        <v>450.20352400000002</v>
      </c>
      <c r="AY67" s="176">
        <f t="shared" si="74"/>
        <v>450.20352400000002</v>
      </c>
      <c r="AZ67" s="176">
        <f t="shared" si="74"/>
        <v>450.20352400000002</v>
      </c>
      <c r="BA67" s="176">
        <f t="shared" si="74"/>
        <v>450.20352400000002</v>
      </c>
      <c r="BB67" s="176">
        <f t="shared" si="74"/>
        <v>450.20352400000002</v>
      </c>
      <c r="BC67" s="176">
        <f t="shared" si="74"/>
        <v>463.70962972000001</v>
      </c>
      <c r="BD67" s="176">
        <f t="shared" si="74"/>
        <v>463.70962972000001</v>
      </c>
      <c r="BE67" s="176">
        <f t="shared" si="74"/>
        <v>463.70962972000001</v>
      </c>
      <c r="BF67" s="176">
        <f t="shared" si="74"/>
        <v>463.70962972000001</v>
      </c>
      <c r="BG67" s="176">
        <f t="shared" si="74"/>
        <v>463.70962972000001</v>
      </c>
      <c r="BH67" s="176">
        <f t="shared" si="74"/>
        <v>463.70962972000001</v>
      </c>
      <c r="BI67" s="176">
        <f t="shared" si="74"/>
        <v>463.70962972000001</v>
      </c>
      <c r="BJ67" s="176">
        <f t="shared" si="74"/>
        <v>463.70962972000001</v>
      </c>
      <c r="BL67" s="101">
        <f t="shared" si="60"/>
        <v>400</v>
      </c>
      <c r="BM67" s="101">
        <f t="shared" si="60"/>
        <v>4944</v>
      </c>
      <c r="BN67" s="101">
        <f t="shared" si="60"/>
        <v>5092.32</v>
      </c>
      <c r="BO67" s="101">
        <f t="shared" si="60"/>
        <v>5245.0896000000002</v>
      </c>
      <c r="BP67" s="101">
        <f t="shared" si="60"/>
        <v>5402.4422880000002</v>
      </c>
      <c r="BQ67" s="101">
        <f t="shared" si="60"/>
        <v>3709.6770377600001</v>
      </c>
    </row>
    <row r="68" spans="1:69">
      <c r="A68" s="30" t="str">
        <f t="shared" si="57"/>
        <v>Водитель погрузчика/кладовщик</v>
      </c>
      <c r="B68" s="75" t="s">
        <v>251</v>
      </c>
      <c r="C68" s="176">
        <f t="shared" ref="C68:AH68" si="75">C43*C17/1000</f>
        <v>0</v>
      </c>
      <c r="D68" s="176">
        <f t="shared" si="75"/>
        <v>0</v>
      </c>
      <c r="E68" s="176">
        <f t="shared" si="75"/>
        <v>0</v>
      </c>
      <c r="F68" s="176">
        <f t="shared" si="75"/>
        <v>320</v>
      </c>
      <c r="G68" s="176">
        <f t="shared" si="75"/>
        <v>329.6</v>
      </c>
      <c r="H68" s="176">
        <f t="shared" si="75"/>
        <v>329.6</v>
      </c>
      <c r="I68" s="176">
        <f t="shared" si="75"/>
        <v>329.6</v>
      </c>
      <c r="J68" s="176">
        <f t="shared" si="75"/>
        <v>329.6</v>
      </c>
      <c r="K68" s="176">
        <f t="shared" si="75"/>
        <v>329.6</v>
      </c>
      <c r="L68" s="176">
        <f t="shared" si="75"/>
        <v>329.6</v>
      </c>
      <c r="M68" s="176">
        <f t="shared" si="75"/>
        <v>329.6</v>
      </c>
      <c r="N68" s="176">
        <f t="shared" si="75"/>
        <v>329.6</v>
      </c>
      <c r="O68" s="176">
        <f t="shared" si="75"/>
        <v>329.6</v>
      </c>
      <c r="P68" s="176">
        <f t="shared" si="75"/>
        <v>329.6</v>
      </c>
      <c r="Q68" s="176">
        <f t="shared" si="75"/>
        <v>329.6</v>
      </c>
      <c r="R68" s="176">
        <f t="shared" si="75"/>
        <v>329.6</v>
      </c>
      <c r="S68" s="176">
        <f t="shared" si="75"/>
        <v>339.488</v>
      </c>
      <c r="T68" s="176">
        <f t="shared" si="75"/>
        <v>339.488</v>
      </c>
      <c r="U68" s="176">
        <f t="shared" si="75"/>
        <v>339.488</v>
      </c>
      <c r="V68" s="176">
        <f t="shared" si="75"/>
        <v>339.488</v>
      </c>
      <c r="W68" s="176">
        <f t="shared" si="75"/>
        <v>339.488</v>
      </c>
      <c r="X68" s="176">
        <f t="shared" si="75"/>
        <v>339.488</v>
      </c>
      <c r="Y68" s="176">
        <f t="shared" si="75"/>
        <v>339.488</v>
      </c>
      <c r="Z68" s="176">
        <f t="shared" si="75"/>
        <v>339.488</v>
      </c>
      <c r="AA68" s="176">
        <f t="shared" si="75"/>
        <v>339.488</v>
      </c>
      <c r="AB68" s="176">
        <f t="shared" si="75"/>
        <v>339.488</v>
      </c>
      <c r="AC68" s="176">
        <f t="shared" si="75"/>
        <v>339.488</v>
      </c>
      <c r="AD68" s="176">
        <f t="shared" si="75"/>
        <v>339.488</v>
      </c>
      <c r="AE68" s="176">
        <f t="shared" si="75"/>
        <v>349.67264</v>
      </c>
      <c r="AF68" s="176">
        <f t="shared" si="75"/>
        <v>349.67264</v>
      </c>
      <c r="AG68" s="176">
        <f t="shared" si="75"/>
        <v>349.67264</v>
      </c>
      <c r="AH68" s="176">
        <f t="shared" si="75"/>
        <v>349.67264</v>
      </c>
      <c r="AI68" s="176">
        <f t="shared" ref="AI68:BJ68" si="76">AI43*AI17/1000</f>
        <v>349.67264</v>
      </c>
      <c r="AJ68" s="176">
        <f t="shared" si="76"/>
        <v>349.67264</v>
      </c>
      <c r="AK68" s="176">
        <f t="shared" si="76"/>
        <v>349.67264</v>
      </c>
      <c r="AL68" s="176">
        <f t="shared" si="76"/>
        <v>349.67264</v>
      </c>
      <c r="AM68" s="176">
        <f t="shared" si="76"/>
        <v>349.67264</v>
      </c>
      <c r="AN68" s="176">
        <f t="shared" si="76"/>
        <v>349.67264</v>
      </c>
      <c r="AO68" s="176">
        <f t="shared" si="76"/>
        <v>349.67264</v>
      </c>
      <c r="AP68" s="176">
        <f t="shared" si="76"/>
        <v>349.67264</v>
      </c>
      <c r="AQ68" s="176">
        <f t="shared" si="76"/>
        <v>360.1628192</v>
      </c>
      <c r="AR68" s="176">
        <f t="shared" si="76"/>
        <v>360.1628192</v>
      </c>
      <c r="AS68" s="176">
        <f t="shared" si="76"/>
        <v>360.1628192</v>
      </c>
      <c r="AT68" s="176">
        <f t="shared" si="76"/>
        <v>360.1628192</v>
      </c>
      <c r="AU68" s="176">
        <f t="shared" si="76"/>
        <v>360.1628192</v>
      </c>
      <c r="AV68" s="176">
        <f t="shared" si="76"/>
        <v>360.1628192</v>
      </c>
      <c r="AW68" s="176">
        <f t="shared" si="76"/>
        <v>360.1628192</v>
      </c>
      <c r="AX68" s="176">
        <f t="shared" si="76"/>
        <v>360.1628192</v>
      </c>
      <c r="AY68" s="176">
        <f t="shared" si="76"/>
        <v>360.1628192</v>
      </c>
      <c r="AZ68" s="176">
        <f t="shared" si="76"/>
        <v>360.1628192</v>
      </c>
      <c r="BA68" s="176">
        <f t="shared" si="76"/>
        <v>360.1628192</v>
      </c>
      <c r="BB68" s="176">
        <f t="shared" si="76"/>
        <v>360.1628192</v>
      </c>
      <c r="BC68" s="176">
        <f t="shared" si="76"/>
        <v>370.96770377600001</v>
      </c>
      <c r="BD68" s="176">
        <f t="shared" si="76"/>
        <v>370.96770377600001</v>
      </c>
      <c r="BE68" s="176">
        <f t="shared" si="76"/>
        <v>370.96770377600001</v>
      </c>
      <c r="BF68" s="176">
        <f t="shared" si="76"/>
        <v>370.96770377600001</v>
      </c>
      <c r="BG68" s="176">
        <f t="shared" si="76"/>
        <v>370.96770377600001</v>
      </c>
      <c r="BH68" s="176">
        <f t="shared" si="76"/>
        <v>370.96770377600001</v>
      </c>
      <c r="BI68" s="176">
        <f t="shared" si="76"/>
        <v>370.96770377600001</v>
      </c>
      <c r="BJ68" s="176">
        <f t="shared" si="76"/>
        <v>370.96770377600001</v>
      </c>
      <c r="BL68" s="101">
        <f t="shared" si="60"/>
        <v>320</v>
      </c>
      <c r="BM68" s="101">
        <f t="shared" si="60"/>
        <v>3955.1999999999994</v>
      </c>
      <c r="BN68" s="101">
        <f t="shared" si="60"/>
        <v>4073.8559999999993</v>
      </c>
      <c r="BO68" s="101">
        <f t="shared" si="60"/>
        <v>4196.0716799999991</v>
      </c>
      <c r="BP68" s="101">
        <f t="shared" si="60"/>
        <v>4321.9538303999989</v>
      </c>
      <c r="BQ68" s="101">
        <f t="shared" si="60"/>
        <v>2967.7416302080001</v>
      </c>
    </row>
    <row r="69" spans="1:69">
      <c r="A69" s="30" t="str">
        <f t="shared" si="57"/>
        <v>Охранник</v>
      </c>
      <c r="B69" s="75" t="s">
        <v>251</v>
      </c>
      <c r="C69" s="176">
        <f t="shared" ref="C69:AH69" si="77">C44*C18/1000</f>
        <v>0</v>
      </c>
      <c r="D69" s="176">
        <f t="shared" si="77"/>
        <v>0</v>
      </c>
      <c r="E69" s="176">
        <f t="shared" si="77"/>
        <v>0</v>
      </c>
      <c r="F69" s="176">
        <f t="shared" si="77"/>
        <v>474</v>
      </c>
      <c r="G69" s="176">
        <f t="shared" si="77"/>
        <v>488.22</v>
      </c>
      <c r="H69" s="176">
        <f t="shared" si="77"/>
        <v>488.22</v>
      </c>
      <c r="I69" s="176">
        <f t="shared" si="77"/>
        <v>488.22</v>
      </c>
      <c r="J69" s="176">
        <f t="shared" si="77"/>
        <v>488.22</v>
      </c>
      <c r="K69" s="176">
        <f t="shared" si="77"/>
        <v>488.22</v>
      </c>
      <c r="L69" s="176">
        <f t="shared" si="77"/>
        <v>488.22</v>
      </c>
      <c r="M69" s="176">
        <f t="shared" si="77"/>
        <v>488.22</v>
      </c>
      <c r="N69" s="176">
        <f t="shared" si="77"/>
        <v>488.22</v>
      </c>
      <c r="O69" s="176">
        <f t="shared" si="77"/>
        <v>488.22</v>
      </c>
      <c r="P69" s="176">
        <f t="shared" si="77"/>
        <v>488.22</v>
      </c>
      <c r="Q69" s="176">
        <f t="shared" si="77"/>
        <v>488.22</v>
      </c>
      <c r="R69" s="176">
        <f t="shared" si="77"/>
        <v>488.22</v>
      </c>
      <c r="S69" s="176">
        <f t="shared" si="77"/>
        <v>502.86659999999995</v>
      </c>
      <c r="T69" s="176">
        <f t="shared" si="77"/>
        <v>502.86659999999995</v>
      </c>
      <c r="U69" s="176">
        <f t="shared" si="77"/>
        <v>502.86659999999995</v>
      </c>
      <c r="V69" s="176">
        <f t="shared" si="77"/>
        <v>502.86659999999995</v>
      </c>
      <c r="W69" s="176">
        <f t="shared" si="77"/>
        <v>502.86659999999995</v>
      </c>
      <c r="X69" s="176">
        <f t="shared" si="77"/>
        <v>502.86659999999995</v>
      </c>
      <c r="Y69" s="176">
        <f t="shared" si="77"/>
        <v>502.86659999999995</v>
      </c>
      <c r="Z69" s="176">
        <f t="shared" si="77"/>
        <v>502.86659999999995</v>
      </c>
      <c r="AA69" s="176">
        <f t="shared" si="77"/>
        <v>502.86659999999995</v>
      </c>
      <c r="AB69" s="176">
        <f t="shared" si="77"/>
        <v>502.86659999999995</v>
      </c>
      <c r="AC69" s="176">
        <f t="shared" si="77"/>
        <v>502.86659999999995</v>
      </c>
      <c r="AD69" s="176">
        <f t="shared" si="77"/>
        <v>502.86659999999995</v>
      </c>
      <c r="AE69" s="176">
        <f t="shared" si="77"/>
        <v>517.95259799999997</v>
      </c>
      <c r="AF69" s="176">
        <f t="shared" si="77"/>
        <v>517.95259799999997</v>
      </c>
      <c r="AG69" s="176">
        <f t="shared" si="77"/>
        <v>517.95259799999997</v>
      </c>
      <c r="AH69" s="176">
        <f t="shared" si="77"/>
        <v>517.95259799999997</v>
      </c>
      <c r="AI69" s="176">
        <f t="shared" ref="AI69:BJ69" si="78">AI44*AI18/1000</f>
        <v>517.95259799999997</v>
      </c>
      <c r="AJ69" s="176">
        <f t="shared" si="78"/>
        <v>517.95259799999997</v>
      </c>
      <c r="AK69" s="176">
        <f t="shared" si="78"/>
        <v>517.95259799999997</v>
      </c>
      <c r="AL69" s="176">
        <f t="shared" si="78"/>
        <v>517.95259799999997</v>
      </c>
      <c r="AM69" s="176">
        <f t="shared" si="78"/>
        <v>517.95259799999997</v>
      </c>
      <c r="AN69" s="176">
        <f t="shared" si="78"/>
        <v>517.95259799999997</v>
      </c>
      <c r="AO69" s="176">
        <f t="shared" si="78"/>
        <v>517.95259799999997</v>
      </c>
      <c r="AP69" s="176">
        <f t="shared" si="78"/>
        <v>517.95259799999997</v>
      </c>
      <c r="AQ69" s="176">
        <f t="shared" si="78"/>
        <v>533.49117593999995</v>
      </c>
      <c r="AR69" s="176">
        <f t="shared" si="78"/>
        <v>533.49117593999995</v>
      </c>
      <c r="AS69" s="176">
        <f t="shared" si="78"/>
        <v>533.49117593999995</v>
      </c>
      <c r="AT69" s="176">
        <f t="shared" si="78"/>
        <v>533.49117593999995</v>
      </c>
      <c r="AU69" s="176">
        <f t="shared" si="78"/>
        <v>533.49117593999995</v>
      </c>
      <c r="AV69" s="176">
        <f t="shared" si="78"/>
        <v>533.49117593999995</v>
      </c>
      <c r="AW69" s="176">
        <f t="shared" si="78"/>
        <v>533.49117593999995</v>
      </c>
      <c r="AX69" s="176">
        <f t="shared" si="78"/>
        <v>533.49117593999995</v>
      </c>
      <c r="AY69" s="176">
        <f t="shared" si="78"/>
        <v>533.49117593999995</v>
      </c>
      <c r="AZ69" s="176">
        <f t="shared" si="78"/>
        <v>533.49117593999995</v>
      </c>
      <c r="BA69" s="176">
        <f t="shared" si="78"/>
        <v>533.49117593999995</v>
      </c>
      <c r="BB69" s="176">
        <f t="shared" si="78"/>
        <v>533.49117593999995</v>
      </c>
      <c r="BC69" s="176">
        <f t="shared" si="78"/>
        <v>549.49591121820004</v>
      </c>
      <c r="BD69" s="176">
        <f t="shared" si="78"/>
        <v>549.49591121820004</v>
      </c>
      <c r="BE69" s="176">
        <f t="shared" si="78"/>
        <v>549.49591121820004</v>
      </c>
      <c r="BF69" s="176">
        <f t="shared" si="78"/>
        <v>549.49591121820004</v>
      </c>
      <c r="BG69" s="176">
        <f t="shared" si="78"/>
        <v>549.49591121820004</v>
      </c>
      <c r="BH69" s="176">
        <f t="shared" si="78"/>
        <v>549.49591121820004</v>
      </c>
      <c r="BI69" s="176">
        <f t="shared" si="78"/>
        <v>549.49591121820004</v>
      </c>
      <c r="BJ69" s="176">
        <f t="shared" si="78"/>
        <v>549.49591121820004</v>
      </c>
      <c r="BL69" s="101">
        <f t="shared" si="60"/>
        <v>474</v>
      </c>
      <c r="BM69" s="101">
        <f t="shared" si="60"/>
        <v>5858.6400000000021</v>
      </c>
      <c r="BN69" s="101">
        <f t="shared" si="60"/>
        <v>6034.3991999999998</v>
      </c>
      <c r="BO69" s="101">
        <f t="shared" si="60"/>
        <v>6215.4311759999991</v>
      </c>
      <c r="BP69" s="101">
        <f t="shared" si="60"/>
        <v>6401.8941112800012</v>
      </c>
      <c r="BQ69" s="101">
        <f t="shared" si="60"/>
        <v>4395.9672897456003</v>
      </c>
    </row>
    <row r="70" spans="1:69">
      <c r="A70" s="30" t="str">
        <f t="shared" si="57"/>
        <v>Уборщик</v>
      </c>
      <c r="B70" s="75" t="s">
        <v>251</v>
      </c>
      <c r="C70" s="176">
        <f t="shared" ref="C70:AH70" si="79">C45*C19/1000</f>
        <v>0</v>
      </c>
      <c r="D70" s="176">
        <f t="shared" si="79"/>
        <v>0</v>
      </c>
      <c r="E70" s="176">
        <f t="shared" si="79"/>
        <v>0</v>
      </c>
      <c r="F70" s="176">
        <f t="shared" si="79"/>
        <v>210</v>
      </c>
      <c r="G70" s="176">
        <f t="shared" si="79"/>
        <v>216.3</v>
      </c>
      <c r="H70" s="176">
        <f t="shared" si="79"/>
        <v>216.3</v>
      </c>
      <c r="I70" s="176">
        <f t="shared" si="79"/>
        <v>216.3</v>
      </c>
      <c r="J70" s="176">
        <f t="shared" si="79"/>
        <v>216.3</v>
      </c>
      <c r="K70" s="176">
        <f t="shared" si="79"/>
        <v>216.3</v>
      </c>
      <c r="L70" s="176">
        <f t="shared" si="79"/>
        <v>216.3</v>
      </c>
      <c r="M70" s="176">
        <f t="shared" si="79"/>
        <v>216.3</v>
      </c>
      <c r="N70" s="176">
        <f t="shared" si="79"/>
        <v>216.3</v>
      </c>
      <c r="O70" s="176">
        <f t="shared" si="79"/>
        <v>216.3</v>
      </c>
      <c r="P70" s="176">
        <f t="shared" si="79"/>
        <v>216.3</v>
      </c>
      <c r="Q70" s="176">
        <f t="shared" si="79"/>
        <v>216.3</v>
      </c>
      <c r="R70" s="176">
        <f t="shared" si="79"/>
        <v>216.3</v>
      </c>
      <c r="S70" s="176">
        <f t="shared" si="79"/>
        <v>222.78899999999999</v>
      </c>
      <c r="T70" s="176">
        <f t="shared" si="79"/>
        <v>222.78899999999999</v>
      </c>
      <c r="U70" s="176">
        <f t="shared" si="79"/>
        <v>222.78899999999999</v>
      </c>
      <c r="V70" s="176">
        <f t="shared" si="79"/>
        <v>222.78899999999999</v>
      </c>
      <c r="W70" s="176">
        <f t="shared" si="79"/>
        <v>222.78899999999999</v>
      </c>
      <c r="X70" s="176">
        <f t="shared" si="79"/>
        <v>222.78899999999999</v>
      </c>
      <c r="Y70" s="176">
        <f t="shared" si="79"/>
        <v>222.78899999999999</v>
      </c>
      <c r="Z70" s="176">
        <f t="shared" si="79"/>
        <v>222.78899999999999</v>
      </c>
      <c r="AA70" s="176">
        <f t="shared" si="79"/>
        <v>222.78899999999999</v>
      </c>
      <c r="AB70" s="176">
        <f t="shared" si="79"/>
        <v>222.78899999999999</v>
      </c>
      <c r="AC70" s="176">
        <f t="shared" si="79"/>
        <v>222.78899999999999</v>
      </c>
      <c r="AD70" s="176">
        <f t="shared" si="79"/>
        <v>222.78899999999999</v>
      </c>
      <c r="AE70" s="176">
        <f t="shared" si="79"/>
        <v>229.47266999999999</v>
      </c>
      <c r="AF70" s="176">
        <f t="shared" si="79"/>
        <v>229.47266999999999</v>
      </c>
      <c r="AG70" s="176">
        <f t="shared" si="79"/>
        <v>229.47266999999999</v>
      </c>
      <c r="AH70" s="176">
        <f t="shared" si="79"/>
        <v>229.47266999999999</v>
      </c>
      <c r="AI70" s="176">
        <f t="shared" ref="AI70:BJ70" si="80">AI45*AI19/1000</f>
        <v>229.47266999999999</v>
      </c>
      <c r="AJ70" s="176">
        <f t="shared" si="80"/>
        <v>229.47266999999999</v>
      </c>
      <c r="AK70" s="176">
        <f t="shared" si="80"/>
        <v>229.47266999999999</v>
      </c>
      <c r="AL70" s="176">
        <f t="shared" si="80"/>
        <v>229.47266999999999</v>
      </c>
      <c r="AM70" s="176">
        <f t="shared" si="80"/>
        <v>229.47266999999999</v>
      </c>
      <c r="AN70" s="176">
        <f t="shared" si="80"/>
        <v>229.47266999999999</v>
      </c>
      <c r="AO70" s="176">
        <f t="shared" si="80"/>
        <v>229.47266999999999</v>
      </c>
      <c r="AP70" s="176">
        <f t="shared" si="80"/>
        <v>229.47266999999999</v>
      </c>
      <c r="AQ70" s="176">
        <f t="shared" si="80"/>
        <v>236.35685010000003</v>
      </c>
      <c r="AR70" s="176">
        <f t="shared" si="80"/>
        <v>236.35685010000003</v>
      </c>
      <c r="AS70" s="176">
        <f t="shared" si="80"/>
        <v>236.35685010000003</v>
      </c>
      <c r="AT70" s="176">
        <f t="shared" si="80"/>
        <v>236.35685010000003</v>
      </c>
      <c r="AU70" s="176">
        <f t="shared" si="80"/>
        <v>236.35685010000003</v>
      </c>
      <c r="AV70" s="176">
        <f t="shared" si="80"/>
        <v>236.35685010000003</v>
      </c>
      <c r="AW70" s="176">
        <f t="shared" si="80"/>
        <v>236.35685010000003</v>
      </c>
      <c r="AX70" s="176">
        <f t="shared" si="80"/>
        <v>236.35685010000003</v>
      </c>
      <c r="AY70" s="176">
        <f t="shared" si="80"/>
        <v>236.35685010000003</v>
      </c>
      <c r="AZ70" s="176">
        <f t="shared" si="80"/>
        <v>236.35685010000003</v>
      </c>
      <c r="BA70" s="176">
        <f t="shared" si="80"/>
        <v>236.35685010000003</v>
      </c>
      <c r="BB70" s="176">
        <f t="shared" si="80"/>
        <v>236.35685010000003</v>
      </c>
      <c r="BC70" s="176">
        <f t="shared" si="80"/>
        <v>243.44755560299998</v>
      </c>
      <c r="BD70" s="176">
        <f t="shared" si="80"/>
        <v>243.44755560299998</v>
      </c>
      <c r="BE70" s="176">
        <f t="shared" si="80"/>
        <v>243.44755560299998</v>
      </c>
      <c r="BF70" s="176">
        <f t="shared" si="80"/>
        <v>243.44755560299998</v>
      </c>
      <c r="BG70" s="176">
        <f t="shared" si="80"/>
        <v>243.44755560299998</v>
      </c>
      <c r="BH70" s="176">
        <f t="shared" si="80"/>
        <v>243.44755560299998</v>
      </c>
      <c r="BI70" s="176">
        <f t="shared" si="80"/>
        <v>243.44755560299998</v>
      </c>
      <c r="BJ70" s="176">
        <f t="shared" si="80"/>
        <v>243.44755560299998</v>
      </c>
      <c r="BL70" s="101">
        <f t="shared" ref="BL70:BQ70" si="81">SUMIF($C$2:$BJ$2,BL$2,$C70:$BJ70)</f>
        <v>210</v>
      </c>
      <c r="BM70" s="101">
        <f t="shared" si="81"/>
        <v>2595.6000000000004</v>
      </c>
      <c r="BN70" s="101">
        <f t="shared" si="81"/>
        <v>2673.4679999999998</v>
      </c>
      <c r="BO70" s="101">
        <f t="shared" si="81"/>
        <v>2753.6720400000008</v>
      </c>
      <c r="BP70" s="101">
        <f t="shared" si="81"/>
        <v>2836.2822012000001</v>
      </c>
      <c r="BQ70" s="101">
        <f t="shared" si="81"/>
        <v>1947.5804448239999</v>
      </c>
    </row>
    <row r="71" spans="1:69">
      <c r="A71" s="18" t="str">
        <f t="shared" ref="A71:A73" si="82">A128</f>
        <v>Коммерческий персонал</v>
      </c>
      <c r="B71" s="54" t="s">
        <v>250</v>
      </c>
      <c r="C71" s="98">
        <f>SUM(C72:C74)</f>
        <v>0</v>
      </c>
      <c r="D71" s="98">
        <f t="shared" ref="D71:BJ71" si="83">SUM(D72:D74)</f>
        <v>0</v>
      </c>
      <c r="E71" s="98">
        <f t="shared" si="83"/>
        <v>0</v>
      </c>
      <c r="F71" s="98">
        <f t="shared" si="83"/>
        <v>572</v>
      </c>
      <c r="G71" s="98">
        <f t="shared" si="83"/>
        <v>589.16</v>
      </c>
      <c r="H71" s="98">
        <f t="shared" si="83"/>
        <v>589.16</v>
      </c>
      <c r="I71" s="98">
        <f t="shared" si="83"/>
        <v>589.16</v>
      </c>
      <c r="J71" s="98">
        <f t="shared" si="83"/>
        <v>589.16</v>
      </c>
      <c r="K71" s="98">
        <f t="shared" si="83"/>
        <v>589.16</v>
      </c>
      <c r="L71" s="98">
        <f t="shared" si="83"/>
        <v>589.16</v>
      </c>
      <c r="M71" s="98">
        <f t="shared" si="83"/>
        <v>589.16</v>
      </c>
      <c r="N71" s="98">
        <f t="shared" si="83"/>
        <v>589.16</v>
      </c>
      <c r="O71" s="98">
        <f t="shared" si="83"/>
        <v>589.16</v>
      </c>
      <c r="P71" s="98">
        <f t="shared" si="83"/>
        <v>589.16</v>
      </c>
      <c r="Q71" s="98">
        <f t="shared" si="83"/>
        <v>589.16</v>
      </c>
      <c r="R71" s="98">
        <f t="shared" si="83"/>
        <v>589.16</v>
      </c>
      <c r="S71" s="98">
        <f t="shared" si="83"/>
        <v>606.83480000000009</v>
      </c>
      <c r="T71" s="98">
        <f t="shared" si="83"/>
        <v>606.83480000000009</v>
      </c>
      <c r="U71" s="98">
        <f t="shared" si="83"/>
        <v>606.83480000000009</v>
      </c>
      <c r="V71" s="98">
        <f t="shared" si="83"/>
        <v>606.83480000000009</v>
      </c>
      <c r="W71" s="98">
        <f t="shared" si="83"/>
        <v>606.83480000000009</v>
      </c>
      <c r="X71" s="98">
        <f t="shared" si="83"/>
        <v>606.83480000000009</v>
      </c>
      <c r="Y71" s="98">
        <f t="shared" si="83"/>
        <v>606.83480000000009</v>
      </c>
      <c r="Z71" s="98">
        <f t="shared" si="83"/>
        <v>606.83480000000009</v>
      </c>
      <c r="AA71" s="98">
        <f t="shared" si="83"/>
        <v>606.83480000000009</v>
      </c>
      <c r="AB71" s="98">
        <f t="shared" si="83"/>
        <v>606.83480000000009</v>
      </c>
      <c r="AC71" s="98">
        <f t="shared" si="83"/>
        <v>606.83480000000009</v>
      </c>
      <c r="AD71" s="98">
        <f t="shared" si="83"/>
        <v>606.83480000000009</v>
      </c>
      <c r="AE71" s="98">
        <f t="shared" si="83"/>
        <v>625.0398439999999</v>
      </c>
      <c r="AF71" s="98">
        <f t="shared" si="83"/>
        <v>625.0398439999999</v>
      </c>
      <c r="AG71" s="98">
        <f t="shared" si="83"/>
        <v>625.0398439999999</v>
      </c>
      <c r="AH71" s="98">
        <f t="shared" si="83"/>
        <v>625.0398439999999</v>
      </c>
      <c r="AI71" s="98">
        <f t="shared" si="83"/>
        <v>625.0398439999999</v>
      </c>
      <c r="AJ71" s="98">
        <f t="shared" si="83"/>
        <v>625.0398439999999</v>
      </c>
      <c r="AK71" s="98">
        <f t="shared" si="83"/>
        <v>625.0398439999999</v>
      </c>
      <c r="AL71" s="98">
        <f t="shared" si="83"/>
        <v>625.0398439999999</v>
      </c>
      <c r="AM71" s="98">
        <f t="shared" si="83"/>
        <v>625.0398439999999</v>
      </c>
      <c r="AN71" s="98">
        <f t="shared" si="83"/>
        <v>625.0398439999999</v>
      </c>
      <c r="AO71" s="98">
        <f t="shared" si="83"/>
        <v>625.0398439999999</v>
      </c>
      <c r="AP71" s="98">
        <f t="shared" si="83"/>
        <v>625.0398439999999</v>
      </c>
      <c r="AQ71" s="98">
        <f t="shared" si="83"/>
        <v>643.79103932000021</v>
      </c>
      <c r="AR71" s="98">
        <f t="shared" si="83"/>
        <v>643.79103932000021</v>
      </c>
      <c r="AS71" s="98">
        <f t="shared" si="83"/>
        <v>643.79103932000021</v>
      </c>
      <c r="AT71" s="98">
        <f t="shared" si="83"/>
        <v>643.79103932000021</v>
      </c>
      <c r="AU71" s="98">
        <f t="shared" si="83"/>
        <v>643.79103932000021</v>
      </c>
      <c r="AV71" s="98">
        <f t="shared" si="83"/>
        <v>643.79103932000021</v>
      </c>
      <c r="AW71" s="98">
        <f t="shared" si="83"/>
        <v>643.79103932000021</v>
      </c>
      <c r="AX71" s="98">
        <f t="shared" si="83"/>
        <v>643.79103932000021</v>
      </c>
      <c r="AY71" s="98">
        <f t="shared" si="83"/>
        <v>643.79103932000021</v>
      </c>
      <c r="AZ71" s="98">
        <f t="shared" si="83"/>
        <v>643.79103932000021</v>
      </c>
      <c r="BA71" s="98">
        <f t="shared" si="83"/>
        <v>643.79103932000021</v>
      </c>
      <c r="BB71" s="98">
        <f t="shared" si="83"/>
        <v>643.79103932000021</v>
      </c>
      <c r="BC71" s="98">
        <f t="shared" si="83"/>
        <v>663.10477049960002</v>
      </c>
      <c r="BD71" s="98">
        <f t="shared" si="83"/>
        <v>663.10477049960002</v>
      </c>
      <c r="BE71" s="98">
        <f t="shared" si="83"/>
        <v>663.10477049960002</v>
      </c>
      <c r="BF71" s="98">
        <f t="shared" si="83"/>
        <v>663.10477049960002</v>
      </c>
      <c r="BG71" s="98">
        <f t="shared" si="83"/>
        <v>663.10477049960002</v>
      </c>
      <c r="BH71" s="98">
        <f t="shared" si="83"/>
        <v>663.10477049960002</v>
      </c>
      <c r="BI71" s="98">
        <f t="shared" si="83"/>
        <v>663.10477049960002</v>
      </c>
      <c r="BJ71" s="98">
        <f t="shared" si="83"/>
        <v>663.10477049960002</v>
      </c>
      <c r="BL71" s="24">
        <f t="shared" ref="BL71:BQ74" si="84">SUMIF($C$2:$BJ$2,BL$2,$C71:$BJ71)</f>
        <v>572</v>
      </c>
      <c r="BM71" s="24">
        <f t="shared" si="84"/>
        <v>7069.9199999999992</v>
      </c>
      <c r="BN71" s="24">
        <f t="shared" si="84"/>
        <v>7282.0176000000029</v>
      </c>
      <c r="BO71" s="24">
        <f t="shared" si="84"/>
        <v>7500.4781279999988</v>
      </c>
      <c r="BP71" s="24">
        <f t="shared" si="84"/>
        <v>7725.4924718400007</v>
      </c>
      <c r="BQ71" s="24">
        <f t="shared" si="84"/>
        <v>5304.8381639968002</v>
      </c>
    </row>
    <row r="72" spans="1:69">
      <c r="A72" s="30" t="str">
        <f t="shared" si="82"/>
        <v>Менеджер по продажам</v>
      </c>
      <c r="B72" s="75" t="s">
        <v>251</v>
      </c>
      <c r="C72" s="97">
        <f t="shared" ref="C72:AH72" si="85">C47*C21/1000</f>
        <v>0</v>
      </c>
      <c r="D72" s="97">
        <f t="shared" si="85"/>
        <v>0</v>
      </c>
      <c r="E72" s="97">
        <f t="shared" si="85"/>
        <v>0</v>
      </c>
      <c r="F72" s="97">
        <f t="shared" si="85"/>
        <v>292</v>
      </c>
      <c r="G72" s="97">
        <f t="shared" si="85"/>
        <v>300.76</v>
      </c>
      <c r="H72" s="97">
        <f t="shared" si="85"/>
        <v>300.76</v>
      </c>
      <c r="I72" s="97">
        <f t="shared" si="85"/>
        <v>300.76</v>
      </c>
      <c r="J72" s="97">
        <f t="shared" si="85"/>
        <v>300.76</v>
      </c>
      <c r="K72" s="97">
        <f t="shared" si="85"/>
        <v>300.76</v>
      </c>
      <c r="L72" s="97">
        <f t="shared" si="85"/>
        <v>300.76</v>
      </c>
      <c r="M72" s="97">
        <f t="shared" si="85"/>
        <v>300.76</v>
      </c>
      <c r="N72" s="97">
        <f t="shared" si="85"/>
        <v>300.76</v>
      </c>
      <c r="O72" s="97">
        <f t="shared" si="85"/>
        <v>300.76</v>
      </c>
      <c r="P72" s="97">
        <f t="shared" si="85"/>
        <v>300.76</v>
      </c>
      <c r="Q72" s="97">
        <f t="shared" si="85"/>
        <v>300.76</v>
      </c>
      <c r="R72" s="97">
        <f t="shared" si="85"/>
        <v>300.76</v>
      </c>
      <c r="S72" s="97">
        <f t="shared" si="85"/>
        <v>309.78280000000001</v>
      </c>
      <c r="T72" s="97">
        <f t="shared" si="85"/>
        <v>309.78280000000001</v>
      </c>
      <c r="U72" s="97">
        <f t="shared" si="85"/>
        <v>309.78280000000001</v>
      </c>
      <c r="V72" s="97">
        <f t="shared" si="85"/>
        <v>309.78280000000001</v>
      </c>
      <c r="W72" s="97">
        <f t="shared" si="85"/>
        <v>309.78280000000001</v>
      </c>
      <c r="X72" s="97">
        <f t="shared" si="85"/>
        <v>309.78280000000001</v>
      </c>
      <c r="Y72" s="97">
        <f t="shared" si="85"/>
        <v>309.78280000000001</v>
      </c>
      <c r="Z72" s="97">
        <f t="shared" si="85"/>
        <v>309.78280000000001</v>
      </c>
      <c r="AA72" s="97">
        <f t="shared" si="85"/>
        <v>309.78280000000001</v>
      </c>
      <c r="AB72" s="97">
        <f t="shared" si="85"/>
        <v>309.78280000000001</v>
      </c>
      <c r="AC72" s="97">
        <f t="shared" si="85"/>
        <v>309.78280000000001</v>
      </c>
      <c r="AD72" s="97">
        <f t="shared" si="85"/>
        <v>309.78280000000001</v>
      </c>
      <c r="AE72" s="97">
        <f t="shared" si="85"/>
        <v>319.07628399999999</v>
      </c>
      <c r="AF72" s="97">
        <f t="shared" si="85"/>
        <v>319.07628399999999</v>
      </c>
      <c r="AG72" s="97">
        <f t="shared" si="85"/>
        <v>319.07628399999999</v>
      </c>
      <c r="AH72" s="97">
        <f t="shared" si="85"/>
        <v>319.07628399999999</v>
      </c>
      <c r="AI72" s="97">
        <f t="shared" ref="AI72:BJ72" si="86">AI47*AI21/1000</f>
        <v>319.07628399999999</v>
      </c>
      <c r="AJ72" s="97">
        <f t="shared" si="86"/>
        <v>319.07628399999999</v>
      </c>
      <c r="AK72" s="97">
        <f t="shared" si="86"/>
        <v>319.07628399999999</v>
      </c>
      <c r="AL72" s="97">
        <f t="shared" si="86"/>
        <v>319.07628399999999</v>
      </c>
      <c r="AM72" s="97">
        <f t="shared" si="86"/>
        <v>319.07628399999999</v>
      </c>
      <c r="AN72" s="97">
        <f t="shared" si="86"/>
        <v>319.07628399999999</v>
      </c>
      <c r="AO72" s="97">
        <f t="shared" si="86"/>
        <v>319.07628399999999</v>
      </c>
      <c r="AP72" s="97">
        <f t="shared" si="86"/>
        <v>319.07628399999999</v>
      </c>
      <c r="AQ72" s="97">
        <f t="shared" si="86"/>
        <v>328.64857252000007</v>
      </c>
      <c r="AR72" s="97">
        <f t="shared" si="86"/>
        <v>328.64857252000007</v>
      </c>
      <c r="AS72" s="97">
        <f t="shared" si="86"/>
        <v>328.64857252000007</v>
      </c>
      <c r="AT72" s="97">
        <f t="shared" si="86"/>
        <v>328.64857252000007</v>
      </c>
      <c r="AU72" s="97">
        <f t="shared" si="86"/>
        <v>328.64857252000007</v>
      </c>
      <c r="AV72" s="97">
        <f t="shared" si="86"/>
        <v>328.64857252000007</v>
      </c>
      <c r="AW72" s="97">
        <f t="shared" si="86"/>
        <v>328.64857252000007</v>
      </c>
      <c r="AX72" s="97">
        <f t="shared" si="86"/>
        <v>328.64857252000007</v>
      </c>
      <c r="AY72" s="97">
        <f t="shared" si="86"/>
        <v>328.64857252000007</v>
      </c>
      <c r="AZ72" s="97">
        <f t="shared" si="86"/>
        <v>328.64857252000007</v>
      </c>
      <c r="BA72" s="97">
        <f t="shared" si="86"/>
        <v>328.64857252000007</v>
      </c>
      <c r="BB72" s="97">
        <f t="shared" si="86"/>
        <v>328.64857252000007</v>
      </c>
      <c r="BC72" s="97">
        <f t="shared" si="86"/>
        <v>338.50802969560004</v>
      </c>
      <c r="BD72" s="97">
        <f t="shared" si="86"/>
        <v>338.50802969560004</v>
      </c>
      <c r="BE72" s="97">
        <f t="shared" si="86"/>
        <v>338.50802969560004</v>
      </c>
      <c r="BF72" s="97">
        <f t="shared" si="86"/>
        <v>338.50802969560004</v>
      </c>
      <c r="BG72" s="97">
        <f t="shared" si="86"/>
        <v>338.50802969560004</v>
      </c>
      <c r="BH72" s="97">
        <f t="shared" si="86"/>
        <v>338.50802969560004</v>
      </c>
      <c r="BI72" s="97">
        <f t="shared" si="86"/>
        <v>338.50802969560004</v>
      </c>
      <c r="BJ72" s="97">
        <f t="shared" si="86"/>
        <v>338.50802969560004</v>
      </c>
      <c r="BL72" s="25">
        <f t="shared" si="84"/>
        <v>292</v>
      </c>
      <c r="BM72" s="25">
        <f t="shared" si="84"/>
        <v>3609.1200000000008</v>
      </c>
      <c r="BN72" s="25">
        <f t="shared" si="84"/>
        <v>3717.3935999999999</v>
      </c>
      <c r="BO72" s="25">
        <f t="shared" si="84"/>
        <v>3828.9154079999989</v>
      </c>
      <c r="BP72" s="25">
        <f t="shared" si="84"/>
        <v>3943.7828702400006</v>
      </c>
      <c r="BQ72" s="25">
        <f t="shared" si="84"/>
        <v>2708.0642375648004</v>
      </c>
    </row>
    <row r="73" spans="1:69">
      <c r="A73" s="30" t="str">
        <f t="shared" si="82"/>
        <v>Менеджер по закупкам</v>
      </c>
      <c r="B73" s="75" t="s">
        <v>251</v>
      </c>
      <c r="C73" s="97">
        <f t="shared" ref="C73:AH73" si="87">C48*C22/1000</f>
        <v>0</v>
      </c>
      <c r="D73" s="97">
        <f t="shared" si="87"/>
        <v>0</v>
      </c>
      <c r="E73" s="97">
        <f t="shared" si="87"/>
        <v>0</v>
      </c>
      <c r="F73" s="97">
        <f t="shared" si="87"/>
        <v>280</v>
      </c>
      <c r="G73" s="97">
        <f t="shared" si="87"/>
        <v>288.39999999999998</v>
      </c>
      <c r="H73" s="97">
        <f t="shared" si="87"/>
        <v>288.39999999999998</v>
      </c>
      <c r="I73" s="97">
        <f t="shared" si="87"/>
        <v>288.39999999999998</v>
      </c>
      <c r="J73" s="97">
        <f t="shared" si="87"/>
        <v>288.39999999999998</v>
      </c>
      <c r="K73" s="97">
        <f t="shared" si="87"/>
        <v>288.39999999999998</v>
      </c>
      <c r="L73" s="97">
        <f t="shared" si="87"/>
        <v>288.39999999999998</v>
      </c>
      <c r="M73" s="97">
        <f t="shared" si="87"/>
        <v>288.39999999999998</v>
      </c>
      <c r="N73" s="97">
        <f t="shared" si="87"/>
        <v>288.39999999999998</v>
      </c>
      <c r="O73" s="97">
        <f t="shared" si="87"/>
        <v>288.39999999999998</v>
      </c>
      <c r="P73" s="97">
        <f t="shared" si="87"/>
        <v>288.39999999999998</v>
      </c>
      <c r="Q73" s="97">
        <f t="shared" si="87"/>
        <v>288.39999999999998</v>
      </c>
      <c r="R73" s="97">
        <f t="shared" si="87"/>
        <v>288.39999999999998</v>
      </c>
      <c r="S73" s="97">
        <f t="shared" si="87"/>
        <v>297.05200000000002</v>
      </c>
      <c r="T73" s="97">
        <f t="shared" si="87"/>
        <v>297.05200000000002</v>
      </c>
      <c r="U73" s="97">
        <f t="shared" si="87"/>
        <v>297.05200000000002</v>
      </c>
      <c r="V73" s="97">
        <f t="shared" si="87"/>
        <v>297.05200000000002</v>
      </c>
      <c r="W73" s="97">
        <f t="shared" si="87"/>
        <v>297.05200000000002</v>
      </c>
      <c r="X73" s="97">
        <f t="shared" si="87"/>
        <v>297.05200000000002</v>
      </c>
      <c r="Y73" s="97">
        <f t="shared" si="87"/>
        <v>297.05200000000002</v>
      </c>
      <c r="Z73" s="97">
        <f t="shared" si="87"/>
        <v>297.05200000000002</v>
      </c>
      <c r="AA73" s="97">
        <f t="shared" si="87"/>
        <v>297.05200000000002</v>
      </c>
      <c r="AB73" s="97">
        <f t="shared" si="87"/>
        <v>297.05200000000002</v>
      </c>
      <c r="AC73" s="97">
        <f t="shared" si="87"/>
        <v>297.05200000000002</v>
      </c>
      <c r="AD73" s="97">
        <f t="shared" si="87"/>
        <v>297.05200000000002</v>
      </c>
      <c r="AE73" s="97">
        <f t="shared" si="87"/>
        <v>305.96355999999997</v>
      </c>
      <c r="AF73" s="97">
        <f t="shared" si="87"/>
        <v>305.96355999999997</v>
      </c>
      <c r="AG73" s="97">
        <f t="shared" si="87"/>
        <v>305.96355999999997</v>
      </c>
      <c r="AH73" s="97">
        <f t="shared" si="87"/>
        <v>305.96355999999997</v>
      </c>
      <c r="AI73" s="97">
        <f t="shared" ref="AI73:BJ73" si="88">AI48*AI22/1000</f>
        <v>305.96355999999997</v>
      </c>
      <c r="AJ73" s="97">
        <f t="shared" si="88"/>
        <v>305.96355999999997</v>
      </c>
      <c r="AK73" s="97">
        <f t="shared" si="88"/>
        <v>305.96355999999997</v>
      </c>
      <c r="AL73" s="97">
        <f t="shared" si="88"/>
        <v>305.96355999999997</v>
      </c>
      <c r="AM73" s="97">
        <f t="shared" si="88"/>
        <v>305.96355999999997</v>
      </c>
      <c r="AN73" s="97">
        <f t="shared" si="88"/>
        <v>305.96355999999997</v>
      </c>
      <c r="AO73" s="97">
        <f t="shared" si="88"/>
        <v>305.96355999999997</v>
      </c>
      <c r="AP73" s="97">
        <f t="shared" si="88"/>
        <v>305.96355999999997</v>
      </c>
      <c r="AQ73" s="97">
        <f t="shared" si="88"/>
        <v>315.14246680000008</v>
      </c>
      <c r="AR73" s="97">
        <f t="shared" si="88"/>
        <v>315.14246680000008</v>
      </c>
      <c r="AS73" s="97">
        <f t="shared" si="88"/>
        <v>315.14246680000008</v>
      </c>
      <c r="AT73" s="97">
        <f t="shared" si="88"/>
        <v>315.14246680000008</v>
      </c>
      <c r="AU73" s="97">
        <f t="shared" si="88"/>
        <v>315.14246680000008</v>
      </c>
      <c r="AV73" s="97">
        <f t="shared" si="88"/>
        <v>315.14246680000008</v>
      </c>
      <c r="AW73" s="97">
        <f t="shared" si="88"/>
        <v>315.14246680000008</v>
      </c>
      <c r="AX73" s="97">
        <f t="shared" si="88"/>
        <v>315.14246680000008</v>
      </c>
      <c r="AY73" s="97">
        <f t="shared" si="88"/>
        <v>315.14246680000008</v>
      </c>
      <c r="AZ73" s="97">
        <f t="shared" si="88"/>
        <v>315.14246680000008</v>
      </c>
      <c r="BA73" s="97">
        <f t="shared" si="88"/>
        <v>315.14246680000008</v>
      </c>
      <c r="BB73" s="97">
        <f t="shared" si="88"/>
        <v>315.14246680000008</v>
      </c>
      <c r="BC73" s="97">
        <f t="shared" si="88"/>
        <v>324.59674080399998</v>
      </c>
      <c r="BD73" s="97">
        <f t="shared" si="88"/>
        <v>324.59674080399998</v>
      </c>
      <c r="BE73" s="97">
        <f t="shared" si="88"/>
        <v>324.59674080399998</v>
      </c>
      <c r="BF73" s="97">
        <f t="shared" si="88"/>
        <v>324.59674080399998</v>
      </c>
      <c r="BG73" s="97">
        <f t="shared" si="88"/>
        <v>324.59674080399998</v>
      </c>
      <c r="BH73" s="97">
        <f t="shared" si="88"/>
        <v>324.59674080399998</v>
      </c>
      <c r="BI73" s="97">
        <f t="shared" si="88"/>
        <v>324.59674080399998</v>
      </c>
      <c r="BJ73" s="97">
        <f t="shared" si="88"/>
        <v>324.59674080399998</v>
      </c>
      <c r="BL73" s="25">
        <f t="shared" si="84"/>
        <v>280</v>
      </c>
      <c r="BM73" s="25">
        <f t="shared" si="84"/>
        <v>3460.8000000000006</v>
      </c>
      <c r="BN73" s="25">
        <f t="shared" si="84"/>
        <v>3564.6240000000012</v>
      </c>
      <c r="BO73" s="25">
        <f t="shared" si="84"/>
        <v>3671.5627200000004</v>
      </c>
      <c r="BP73" s="25">
        <f t="shared" si="84"/>
        <v>3781.7096016</v>
      </c>
      <c r="BQ73" s="25">
        <f t="shared" si="84"/>
        <v>2596.7739264320003</v>
      </c>
    </row>
    <row r="74" spans="1:69">
      <c r="A74" s="30"/>
      <c r="B74" s="75" t="s">
        <v>251</v>
      </c>
      <c r="C74" s="97">
        <f t="shared" ref="C74:AH74" si="89">C49*C23/1000</f>
        <v>0</v>
      </c>
      <c r="D74" s="97">
        <f t="shared" si="89"/>
        <v>0</v>
      </c>
      <c r="E74" s="97">
        <f t="shared" si="89"/>
        <v>0</v>
      </c>
      <c r="F74" s="97">
        <f t="shared" si="89"/>
        <v>0</v>
      </c>
      <c r="G74" s="97">
        <f t="shared" si="89"/>
        <v>0</v>
      </c>
      <c r="H74" s="97">
        <f t="shared" si="89"/>
        <v>0</v>
      </c>
      <c r="I74" s="97">
        <f t="shared" si="89"/>
        <v>0</v>
      </c>
      <c r="J74" s="97">
        <f t="shared" si="89"/>
        <v>0</v>
      </c>
      <c r="K74" s="97">
        <f t="shared" si="89"/>
        <v>0</v>
      </c>
      <c r="L74" s="97">
        <f t="shared" si="89"/>
        <v>0</v>
      </c>
      <c r="M74" s="97">
        <f t="shared" si="89"/>
        <v>0</v>
      </c>
      <c r="N74" s="97">
        <f t="shared" si="89"/>
        <v>0</v>
      </c>
      <c r="O74" s="97">
        <f t="shared" si="89"/>
        <v>0</v>
      </c>
      <c r="P74" s="97">
        <f t="shared" si="89"/>
        <v>0</v>
      </c>
      <c r="Q74" s="97">
        <f t="shared" si="89"/>
        <v>0</v>
      </c>
      <c r="R74" s="97">
        <f t="shared" si="89"/>
        <v>0</v>
      </c>
      <c r="S74" s="97">
        <f t="shared" si="89"/>
        <v>0</v>
      </c>
      <c r="T74" s="97">
        <f t="shared" si="89"/>
        <v>0</v>
      </c>
      <c r="U74" s="97">
        <f t="shared" si="89"/>
        <v>0</v>
      </c>
      <c r="V74" s="97">
        <f t="shared" si="89"/>
        <v>0</v>
      </c>
      <c r="W74" s="97">
        <f t="shared" si="89"/>
        <v>0</v>
      </c>
      <c r="X74" s="97">
        <f t="shared" si="89"/>
        <v>0</v>
      </c>
      <c r="Y74" s="97">
        <f t="shared" si="89"/>
        <v>0</v>
      </c>
      <c r="Z74" s="97">
        <f t="shared" si="89"/>
        <v>0</v>
      </c>
      <c r="AA74" s="97">
        <f t="shared" si="89"/>
        <v>0</v>
      </c>
      <c r="AB74" s="97">
        <f t="shared" si="89"/>
        <v>0</v>
      </c>
      <c r="AC74" s="97">
        <f t="shared" si="89"/>
        <v>0</v>
      </c>
      <c r="AD74" s="97">
        <f t="shared" si="89"/>
        <v>0</v>
      </c>
      <c r="AE74" s="97">
        <f t="shared" si="89"/>
        <v>0</v>
      </c>
      <c r="AF74" s="97">
        <f t="shared" si="89"/>
        <v>0</v>
      </c>
      <c r="AG74" s="97">
        <f t="shared" si="89"/>
        <v>0</v>
      </c>
      <c r="AH74" s="97">
        <f t="shared" si="89"/>
        <v>0</v>
      </c>
      <c r="AI74" s="97">
        <f t="shared" ref="AI74:BJ74" si="90">AI49*AI23/1000</f>
        <v>0</v>
      </c>
      <c r="AJ74" s="97">
        <f t="shared" si="90"/>
        <v>0</v>
      </c>
      <c r="AK74" s="97">
        <f t="shared" si="90"/>
        <v>0</v>
      </c>
      <c r="AL74" s="97">
        <f t="shared" si="90"/>
        <v>0</v>
      </c>
      <c r="AM74" s="97">
        <f t="shared" si="90"/>
        <v>0</v>
      </c>
      <c r="AN74" s="97">
        <f t="shared" si="90"/>
        <v>0</v>
      </c>
      <c r="AO74" s="97">
        <f t="shared" si="90"/>
        <v>0</v>
      </c>
      <c r="AP74" s="97">
        <f t="shared" si="90"/>
        <v>0</v>
      </c>
      <c r="AQ74" s="97">
        <f t="shared" si="90"/>
        <v>0</v>
      </c>
      <c r="AR74" s="97">
        <f t="shared" si="90"/>
        <v>0</v>
      </c>
      <c r="AS74" s="97">
        <f t="shared" si="90"/>
        <v>0</v>
      </c>
      <c r="AT74" s="97">
        <f t="shared" si="90"/>
        <v>0</v>
      </c>
      <c r="AU74" s="97">
        <f t="shared" si="90"/>
        <v>0</v>
      </c>
      <c r="AV74" s="97">
        <f t="shared" si="90"/>
        <v>0</v>
      </c>
      <c r="AW74" s="97">
        <f t="shared" si="90"/>
        <v>0</v>
      </c>
      <c r="AX74" s="97">
        <f t="shared" si="90"/>
        <v>0</v>
      </c>
      <c r="AY74" s="97">
        <f t="shared" si="90"/>
        <v>0</v>
      </c>
      <c r="AZ74" s="97">
        <f t="shared" si="90"/>
        <v>0</v>
      </c>
      <c r="BA74" s="97">
        <f t="shared" si="90"/>
        <v>0</v>
      </c>
      <c r="BB74" s="97">
        <f t="shared" si="90"/>
        <v>0</v>
      </c>
      <c r="BC74" s="97">
        <f t="shared" si="90"/>
        <v>0</v>
      </c>
      <c r="BD74" s="97">
        <f t="shared" si="90"/>
        <v>0</v>
      </c>
      <c r="BE74" s="97">
        <f t="shared" si="90"/>
        <v>0</v>
      </c>
      <c r="BF74" s="97">
        <f t="shared" si="90"/>
        <v>0</v>
      </c>
      <c r="BG74" s="97">
        <f t="shared" si="90"/>
        <v>0</v>
      </c>
      <c r="BH74" s="97">
        <f t="shared" si="90"/>
        <v>0</v>
      </c>
      <c r="BI74" s="97">
        <f t="shared" si="90"/>
        <v>0</v>
      </c>
      <c r="BJ74" s="97">
        <f t="shared" si="90"/>
        <v>0</v>
      </c>
      <c r="BL74" s="25">
        <f t="shared" si="84"/>
        <v>0</v>
      </c>
      <c r="BM74" s="25">
        <f t="shared" si="84"/>
        <v>0</v>
      </c>
      <c r="BN74" s="25">
        <f t="shared" si="84"/>
        <v>0</v>
      </c>
      <c r="BO74" s="25">
        <f t="shared" si="84"/>
        <v>0</v>
      </c>
      <c r="BP74" s="25">
        <f t="shared" si="84"/>
        <v>0</v>
      </c>
      <c r="BQ74" s="25">
        <f t="shared" si="84"/>
        <v>0</v>
      </c>
    </row>
    <row r="75" spans="1:69">
      <c r="A75" s="18" t="str">
        <f t="shared" ref="A75:A82" si="91">A132</f>
        <v>Административный персонал</v>
      </c>
      <c r="B75" s="54" t="s">
        <v>250</v>
      </c>
      <c r="C75" s="98">
        <f t="shared" ref="C75:AH75" si="92">SUM(C76:C82)</f>
        <v>1151</v>
      </c>
      <c r="D75" s="98">
        <f t="shared" si="92"/>
        <v>1151</v>
      </c>
      <c r="E75" s="98">
        <f t="shared" si="92"/>
        <v>1151</v>
      </c>
      <c r="F75" s="98">
        <f t="shared" si="92"/>
        <v>1151</v>
      </c>
      <c r="G75" s="98">
        <f t="shared" si="92"/>
        <v>1185.5300000000002</v>
      </c>
      <c r="H75" s="98">
        <f t="shared" si="92"/>
        <v>1185.5300000000002</v>
      </c>
      <c r="I75" s="98">
        <f t="shared" si="92"/>
        <v>1185.5300000000002</v>
      </c>
      <c r="J75" s="98">
        <f t="shared" si="92"/>
        <v>1185.5300000000002</v>
      </c>
      <c r="K75" s="98">
        <f t="shared" si="92"/>
        <v>1185.5300000000002</v>
      </c>
      <c r="L75" s="98">
        <f t="shared" si="92"/>
        <v>1185.5300000000002</v>
      </c>
      <c r="M75" s="98">
        <f t="shared" si="92"/>
        <v>1185.5300000000002</v>
      </c>
      <c r="N75" s="98">
        <f t="shared" si="92"/>
        <v>1185.5300000000002</v>
      </c>
      <c r="O75" s="98">
        <f t="shared" si="92"/>
        <v>1185.5300000000002</v>
      </c>
      <c r="P75" s="98">
        <f t="shared" si="92"/>
        <v>1185.5300000000002</v>
      </c>
      <c r="Q75" s="98">
        <f t="shared" si="92"/>
        <v>1185.5300000000002</v>
      </c>
      <c r="R75" s="98">
        <f t="shared" si="92"/>
        <v>1185.5300000000002</v>
      </c>
      <c r="S75" s="98">
        <f t="shared" si="92"/>
        <v>1221.0958999999998</v>
      </c>
      <c r="T75" s="98">
        <f t="shared" si="92"/>
        <v>1221.0958999999998</v>
      </c>
      <c r="U75" s="98">
        <f t="shared" si="92"/>
        <v>1221.0958999999998</v>
      </c>
      <c r="V75" s="98">
        <f t="shared" si="92"/>
        <v>1221.0958999999998</v>
      </c>
      <c r="W75" s="98">
        <f t="shared" si="92"/>
        <v>1221.0958999999998</v>
      </c>
      <c r="X75" s="98">
        <f t="shared" si="92"/>
        <v>1221.0958999999998</v>
      </c>
      <c r="Y75" s="98">
        <f t="shared" si="92"/>
        <v>1221.0958999999998</v>
      </c>
      <c r="Z75" s="98">
        <f t="shared" si="92"/>
        <v>1221.0958999999998</v>
      </c>
      <c r="AA75" s="98">
        <f t="shared" si="92"/>
        <v>1221.0958999999998</v>
      </c>
      <c r="AB75" s="98">
        <f t="shared" si="92"/>
        <v>1221.0958999999998</v>
      </c>
      <c r="AC75" s="98">
        <f t="shared" si="92"/>
        <v>1221.0958999999998</v>
      </c>
      <c r="AD75" s="98">
        <f t="shared" si="92"/>
        <v>1221.0958999999998</v>
      </c>
      <c r="AE75" s="98">
        <f t="shared" si="92"/>
        <v>1257.7287769999998</v>
      </c>
      <c r="AF75" s="98">
        <f t="shared" si="92"/>
        <v>1257.7287769999998</v>
      </c>
      <c r="AG75" s="98">
        <f t="shared" si="92"/>
        <v>1257.7287769999998</v>
      </c>
      <c r="AH75" s="98">
        <f t="shared" si="92"/>
        <v>1257.7287769999998</v>
      </c>
      <c r="AI75" s="98">
        <f t="shared" ref="AI75:BJ75" si="93">SUM(AI76:AI82)</f>
        <v>1257.7287769999998</v>
      </c>
      <c r="AJ75" s="98">
        <f t="shared" si="93"/>
        <v>1257.7287769999998</v>
      </c>
      <c r="AK75" s="98">
        <f t="shared" si="93"/>
        <v>1257.7287769999998</v>
      </c>
      <c r="AL75" s="98">
        <f t="shared" si="93"/>
        <v>1257.7287769999998</v>
      </c>
      <c r="AM75" s="98">
        <f t="shared" si="93"/>
        <v>1257.7287769999998</v>
      </c>
      <c r="AN75" s="98">
        <f t="shared" si="93"/>
        <v>1257.7287769999998</v>
      </c>
      <c r="AO75" s="98">
        <f t="shared" si="93"/>
        <v>1257.7287769999998</v>
      </c>
      <c r="AP75" s="98">
        <f t="shared" si="93"/>
        <v>1257.7287769999998</v>
      </c>
      <c r="AQ75" s="98">
        <f t="shared" si="93"/>
        <v>1295.4606403100001</v>
      </c>
      <c r="AR75" s="98">
        <f t="shared" si="93"/>
        <v>1295.4606403100001</v>
      </c>
      <c r="AS75" s="98">
        <f t="shared" si="93"/>
        <v>1295.4606403100001</v>
      </c>
      <c r="AT75" s="98">
        <f t="shared" si="93"/>
        <v>1295.4606403100001</v>
      </c>
      <c r="AU75" s="98">
        <f t="shared" si="93"/>
        <v>1295.4606403100001</v>
      </c>
      <c r="AV75" s="98">
        <f t="shared" si="93"/>
        <v>1295.4606403100001</v>
      </c>
      <c r="AW75" s="98">
        <f t="shared" si="93"/>
        <v>1295.4606403100001</v>
      </c>
      <c r="AX75" s="98">
        <f t="shared" si="93"/>
        <v>1295.4606403100001</v>
      </c>
      <c r="AY75" s="98">
        <f t="shared" si="93"/>
        <v>1295.4606403100001</v>
      </c>
      <c r="AZ75" s="98">
        <f t="shared" si="93"/>
        <v>1295.4606403100001</v>
      </c>
      <c r="BA75" s="98">
        <f t="shared" si="93"/>
        <v>1295.4606403100001</v>
      </c>
      <c r="BB75" s="98">
        <f t="shared" si="93"/>
        <v>1295.4606403100001</v>
      </c>
      <c r="BC75" s="98">
        <f t="shared" si="93"/>
        <v>1334.3244595193</v>
      </c>
      <c r="BD75" s="98">
        <f t="shared" si="93"/>
        <v>1334.3244595193</v>
      </c>
      <c r="BE75" s="98">
        <f t="shared" si="93"/>
        <v>1334.3244595193</v>
      </c>
      <c r="BF75" s="98">
        <f t="shared" si="93"/>
        <v>1334.3244595193</v>
      </c>
      <c r="BG75" s="98">
        <f t="shared" si="93"/>
        <v>1334.3244595193</v>
      </c>
      <c r="BH75" s="98">
        <f t="shared" si="93"/>
        <v>1334.3244595193</v>
      </c>
      <c r="BI75" s="98">
        <f t="shared" si="93"/>
        <v>1334.3244595193</v>
      </c>
      <c r="BJ75" s="98">
        <f t="shared" si="93"/>
        <v>1334.3244595193</v>
      </c>
      <c r="BL75" s="24">
        <f t="shared" ref="BL75:BQ82" si="94">SUMIF($C$2:$BJ$2,BL$2,$C75:$BJ75)</f>
        <v>4604</v>
      </c>
      <c r="BM75" s="24">
        <f t="shared" si="94"/>
        <v>14226.360000000006</v>
      </c>
      <c r="BN75" s="24">
        <f t="shared" si="94"/>
        <v>14653.150800000001</v>
      </c>
      <c r="BO75" s="24">
        <f t="shared" si="94"/>
        <v>15092.745324000001</v>
      </c>
      <c r="BP75" s="24">
        <f t="shared" si="94"/>
        <v>15545.527683720005</v>
      </c>
      <c r="BQ75" s="24">
        <f t="shared" si="94"/>
        <v>10674.5956761544</v>
      </c>
    </row>
    <row r="76" spans="1:69">
      <c r="A76" s="30" t="str">
        <f t="shared" si="91"/>
        <v>Директор</v>
      </c>
      <c r="B76" s="75" t="s">
        <v>251</v>
      </c>
      <c r="C76" s="97">
        <f t="shared" ref="C76:AH76" si="95">C51*C25/1000</f>
        <v>154</v>
      </c>
      <c r="D76" s="97">
        <f t="shared" si="95"/>
        <v>154</v>
      </c>
      <c r="E76" s="97">
        <f t="shared" si="95"/>
        <v>154</v>
      </c>
      <c r="F76" s="97">
        <f t="shared" si="95"/>
        <v>154</v>
      </c>
      <c r="G76" s="97">
        <f t="shared" si="95"/>
        <v>158.62</v>
      </c>
      <c r="H76" s="97">
        <f t="shared" si="95"/>
        <v>158.62</v>
      </c>
      <c r="I76" s="97">
        <f t="shared" si="95"/>
        <v>158.62</v>
      </c>
      <c r="J76" s="97">
        <f t="shared" si="95"/>
        <v>158.62</v>
      </c>
      <c r="K76" s="97">
        <f t="shared" si="95"/>
        <v>158.62</v>
      </c>
      <c r="L76" s="97">
        <f t="shared" si="95"/>
        <v>158.62</v>
      </c>
      <c r="M76" s="97">
        <f t="shared" si="95"/>
        <v>158.62</v>
      </c>
      <c r="N76" s="97">
        <f t="shared" si="95"/>
        <v>158.62</v>
      </c>
      <c r="O76" s="97">
        <f t="shared" si="95"/>
        <v>158.62</v>
      </c>
      <c r="P76" s="97">
        <f t="shared" si="95"/>
        <v>158.62</v>
      </c>
      <c r="Q76" s="97">
        <f t="shared" si="95"/>
        <v>158.62</v>
      </c>
      <c r="R76" s="97">
        <f t="shared" si="95"/>
        <v>158.62</v>
      </c>
      <c r="S76" s="97">
        <f t="shared" si="95"/>
        <v>163.37860000000001</v>
      </c>
      <c r="T76" s="97">
        <f t="shared" si="95"/>
        <v>163.37860000000001</v>
      </c>
      <c r="U76" s="97">
        <f t="shared" si="95"/>
        <v>163.37860000000001</v>
      </c>
      <c r="V76" s="97">
        <f t="shared" si="95"/>
        <v>163.37860000000001</v>
      </c>
      <c r="W76" s="97">
        <f t="shared" si="95"/>
        <v>163.37860000000001</v>
      </c>
      <c r="X76" s="97">
        <f t="shared" si="95"/>
        <v>163.37860000000001</v>
      </c>
      <c r="Y76" s="97">
        <f t="shared" si="95"/>
        <v>163.37860000000001</v>
      </c>
      <c r="Z76" s="97">
        <f t="shared" si="95"/>
        <v>163.37860000000001</v>
      </c>
      <c r="AA76" s="97">
        <f t="shared" si="95"/>
        <v>163.37860000000001</v>
      </c>
      <c r="AB76" s="97">
        <f t="shared" si="95"/>
        <v>163.37860000000001</v>
      </c>
      <c r="AC76" s="97">
        <f t="shared" si="95"/>
        <v>163.37860000000001</v>
      </c>
      <c r="AD76" s="97">
        <f t="shared" si="95"/>
        <v>163.37860000000001</v>
      </c>
      <c r="AE76" s="97">
        <f t="shared" si="95"/>
        <v>168.27995800000002</v>
      </c>
      <c r="AF76" s="97">
        <f t="shared" si="95"/>
        <v>168.27995800000002</v>
      </c>
      <c r="AG76" s="97">
        <f t="shared" si="95"/>
        <v>168.27995800000002</v>
      </c>
      <c r="AH76" s="97">
        <f t="shared" si="95"/>
        <v>168.27995800000002</v>
      </c>
      <c r="AI76" s="97">
        <f t="shared" ref="AI76:BJ76" si="96">AI51*AI25/1000</f>
        <v>168.27995800000002</v>
      </c>
      <c r="AJ76" s="97">
        <f t="shared" si="96"/>
        <v>168.27995800000002</v>
      </c>
      <c r="AK76" s="97">
        <f t="shared" si="96"/>
        <v>168.27995800000002</v>
      </c>
      <c r="AL76" s="97">
        <f t="shared" si="96"/>
        <v>168.27995800000002</v>
      </c>
      <c r="AM76" s="97">
        <f t="shared" si="96"/>
        <v>168.27995800000002</v>
      </c>
      <c r="AN76" s="97">
        <f t="shared" si="96"/>
        <v>168.27995800000002</v>
      </c>
      <c r="AO76" s="97">
        <f t="shared" si="96"/>
        <v>168.27995800000002</v>
      </c>
      <c r="AP76" s="97">
        <f t="shared" si="96"/>
        <v>168.27995800000002</v>
      </c>
      <c r="AQ76" s="97">
        <f t="shared" si="96"/>
        <v>173.32835674</v>
      </c>
      <c r="AR76" s="97">
        <f t="shared" si="96"/>
        <v>173.32835674</v>
      </c>
      <c r="AS76" s="97">
        <f t="shared" si="96"/>
        <v>173.32835674</v>
      </c>
      <c r="AT76" s="97">
        <f t="shared" si="96"/>
        <v>173.32835674</v>
      </c>
      <c r="AU76" s="97">
        <f t="shared" si="96"/>
        <v>173.32835674</v>
      </c>
      <c r="AV76" s="97">
        <f t="shared" si="96"/>
        <v>173.32835674</v>
      </c>
      <c r="AW76" s="97">
        <f t="shared" si="96"/>
        <v>173.32835674</v>
      </c>
      <c r="AX76" s="97">
        <f t="shared" si="96"/>
        <v>173.32835674</v>
      </c>
      <c r="AY76" s="97">
        <f t="shared" si="96"/>
        <v>173.32835674</v>
      </c>
      <c r="AZ76" s="97">
        <f t="shared" si="96"/>
        <v>173.32835674</v>
      </c>
      <c r="BA76" s="97">
        <f t="shared" si="96"/>
        <v>173.32835674</v>
      </c>
      <c r="BB76" s="97">
        <f t="shared" si="96"/>
        <v>173.32835674</v>
      </c>
      <c r="BC76" s="97">
        <f t="shared" si="96"/>
        <v>178.52820744220003</v>
      </c>
      <c r="BD76" s="97">
        <f t="shared" si="96"/>
        <v>178.52820744220003</v>
      </c>
      <c r="BE76" s="97">
        <f t="shared" si="96"/>
        <v>178.52820744220003</v>
      </c>
      <c r="BF76" s="97">
        <f t="shared" si="96"/>
        <v>178.52820744220003</v>
      </c>
      <c r="BG76" s="97">
        <f t="shared" si="96"/>
        <v>178.52820744220003</v>
      </c>
      <c r="BH76" s="97">
        <f t="shared" si="96"/>
        <v>178.52820744220003</v>
      </c>
      <c r="BI76" s="97">
        <f t="shared" si="96"/>
        <v>178.52820744220003</v>
      </c>
      <c r="BJ76" s="97">
        <f t="shared" si="96"/>
        <v>178.52820744220003</v>
      </c>
      <c r="BL76" s="25">
        <f t="shared" si="94"/>
        <v>616</v>
      </c>
      <c r="BM76" s="25">
        <f t="shared" si="94"/>
        <v>1903.4399999999996</v>
      </c>
      <c r="BN76" s="25">
        <f t="shared" si="94"/>
        <v>1960.5432000000001</v>
      </c>
      <c r="BO76" s="25">
        <f t="shared" si="94"/>
        <v>2019.3594960000007</v>
      </c>
      <c r="BP76" s="25">
        <f t="shared" si="94"/>
        <v>2079.9402808799996</v>
      </c>
      <c r="BQ76" s="25">
        <f t="shared" si="94"/>
        <v>1428.2256595376002</v>
      </c>
    </row>
    <row r="77" spans="1:69">
      <c r="A77" s="30" t="str">
        <f t="shared" si="91"/>
        <v>Директор производства</v>
      </c>
      <c r="B77" s="75" t="s">
        <v>251</v>
      </c>
      <c r="C77" s="97">
        <f t="shared" ref="C77:AH77" si="97">C52*C26/1000</f>
        <v>110</v>
      </c>
      <c r="D77" s="97">
        <f t="shared" si="97"/>
        <v>110</v>
      </c>
      <c r="E77" s="97">
        <f t="shared" si="97"/>
        <v>110</v>
      </c>
      <c r="F77" s="97">
        <f t="shared" si="97"/>
        <v>110</v>
      </c>
      <c r="G77" s="97">
        <f t="shared" si="97"/>
        <v>113.3</v>
      </c>
      <c r="H77" s="97">
        <f t="shared" si="97"/>
        <v>113.3</v>
      </c>
      <c r="I77" s="97">
        <f t="shared" si="97"/>
        <v>113.3</v>
      </c>
      <c r="J77" s="97">
        <f t="shared" si="97"/>
        <v>113.3</v>
      </c>
      <c r="K77" s="97">
        <f t="shared" si="97"/>
        <v>113.3</v>
      </c>
      <c r="L77" s="97">
        <f t="shared" si="97"/>
        <v>113.3</v>
      </c>
      <c r="M77" s="97">
        <f t="shared" si="97"/>
        <v>113.3</v>
      </c>
      <c r="N77" s="97">
        <f t="shared" si="97"/>
        <v>113.3</v>
      </c>
      <c r="O77" s="97">
        <f t="shared" si="97"/>
        <v>113.3</v>
      </c>
      <c r="P77" s="97">
        <f t="shared" si="97"/>
        <v>113.3</v>
      </c>
      <c r="Q77" s="97">
        <f t="shared" si="97"/>
        <v>113.3</v>
      </c>
      <c r="R77" s="97">
        <f t="shared" si="97"/>
        <v>113.3</v>
      </c>
      <c r="S77" s="97">
        <f t="shared" si="97"/>
        <v>116.699</v>
      </c>
      <c r="T77" s="97">
        <f t="shared" si="97"/>
        <v>116.699</v>
      </c>
      <c r="U77" s="97">
        <f t="shared" si="97"/>
        <v>116.699</v>
      </c>
      <c r="V77" s="97">
        <f t="shared" si="97"/>
        <v>116.699</v>
      </c>
      <c r="W77" s="97">
        <f t="shared" si="97"/>
        <v>116.699</v>
      </c>
      <c r="X77" s="97">
        <f t="shared" si="97"/>
        <v>116.699</v>
      </c>
      <c r="Y77" s="97">
        <f t="shared" si="97"/>
        <v>116.699</v>
      </c>
      <c r="Z77" s="97">
        <f t="shared" si="97"/>
        <v>116.699</v>
      </c>
      <c r="AA77" s="97">
        <f t="shared" si="97"/>
        <v>116.699</v>
      </c>
      <c r="AB77" s="97">
        <f t="shared" si="97"/>
        <v>116.699</v>
      </c>
      <c r="AC77" s="97">
        <f t="shared" si="97"/>
        <v>116.699</v>
      </c>
      <c r="AD77" s="97">
        <f t="shared" si="97"/>
        <v>116.699</v>
      </c>
      <c r="AE77" s="97">
        <f t="shared" si="97"/>
        <v>120.19997000000001</v>
      </c>
      <c r="AF77" s="97">
        <f t="shared" si="97"/>
        <v>120.19997000000001</v>
      </c>
      <c r="AG77" s="97">
        <f t="shared" si="97"/>
        <v>120.19997000000001</v>
      </c>
      <c r="AH77" s="97">
        <f t="shared" si="97"/>
        <v>120.19997000000001</v>
      </c>
      <c r="AI77" s="97">
        <f t="shared" ref="AI77:BJ77" si="98">AI52*AI26/1000</f>
        <v>120.19997000000001</v>
      </c>
      <c r="AJ77" s="97">
        <f t="shared" si="98"/>
        <v>120.19997000000001</v>
      </c>
      <c r="AK77" s="97">
        <f t="shared" si="98"/>
        <v>120.19997000000001</v>
      </c>
      <c r="AL77" s="97">
        <f t="shared" si="98"/>
        <v>120.19997000000001</v>
      </c>
      <c r="AM77" s="97">
        <f t="shared" si="98"/>
        <v>120.19997000000001</v>
      </c>
      <c r="AN77" s="97">
        <f t="shared" si="98"/>
        <v>120.19997000000001</v>
      </c>
      <c r="AO77" s="97">
        <f t="shared" si="98"/>
        <v>120.19997000000001</v>
      </c>
      <c r="AP77" s="97">
        <f t="shared" si="98"/>
        <v>120.19997000000001</v>
      </c>
      <c r="AQ77" s="97">
        <f t="shared" si="98"/>
        <v>123.80596910000001</v>
      </c>
      <c r="AR77" s="97">
        <f t="shared" si="98"/>
        <v>123.80596910000001</v>
      </c>
      <c r="AS77" s="97">
        <f t="shared" si="98"/>
        <v>123.80596910000001</v>
      </c>
      <c r="AT77" s="97">
        <f t="shared" si="98"/>
        <v>123.80596910000001</v>
      </c>
      <c r="AU77" s="97">
        <f t="shared" si="98"/>
        <v>123.80596910000001</v>
      </c>
      <c r="AV77" s="97">
        <f t="shared" si="98"/>
        <v>123.80596910000001</v>
      </c>
      <c r="AW77" s="97">
        <f t="shared" si="98"/>
        <v>123.80596910000001</v>
      </c>
      <c r="AX77" s="97">
        <f t="shared" si="98"/>
        <v>123.80596910000001</v>
      </c>
      <c r="AY77" s="97">
        <f t="shared" si="98"/>
        <v>123.80596910000001</v>
      </c>
      <c r="AZ77" s="97">
        <f t="shared" si="98"/>
        <v>123.80596910000001</v>
      </c>
      <c r="BA77" s="97">
        <f t="shared" si="98"/>
        <v>123.80596910000001</v>
      </c>
      <c r="BB77" s="97">
        <f t="shared" si="98"/>
        <v>123.80596910000001</v>
      </c>
      <c r="BC77" s="97">
        <f t="shared" si="98"/>
        <v>127.52014817300001</v>
      </c>
      <c r="BD77" s="97">
        <f t="shared" si="98"/>
        <v>127.52014817300001</v>
      </c>
      <c r="BE77" s="97">
        <f t="shared" si="98"/>
        <v>127.52014817300001</v>
      </c>
      <c r="BF77" s="97">
        <f t="shared" si="98"/>
        <v>127.52014817300001</v>
      </c>
      <c r="BG77" s="97">
        <f t="shared" si="98"/>
        <v>127.52014817300001</v>
      </c>
      <c r="BH77" s="97">
        <f t="shared" si="98"/>
        <v>127.52014817300001</v>
      </c>
      <c r="BI77" s="97">
        <f t="shared" si="98"/>
        <v>127.52014817300001</v>
      </c>
      <c r="BJ77" s="97">
        <f t="shared" si="98"/>
        <v>127.52014817300001</v>
      </c>
      <c r="BL77" s="25">
        <f t="shared" si="94"/>
        <v>440</v>
      </c>
      <c r="BM77" s="25">
        <f t="shared" si="94"/>
        <v>1359.5999999999997</v>
      </c>
      <c r="BN77" s="25">
        <f t="shared" si="94"/>
        <v>1400.3880000000001</v>
      </c>
      <c r="BO77" s="25">
        <f t="shared" si="94"/>
        <v>1442.3996400000005</v>
      </c>
      <c r="BP77" s="25">
        <f t="shared" si="94"/>
        <v>1485.6716292000003</v>
      </c>
      <c r="BQ77" s="25">
        <f t="shared" si="94"/>
        <v>1020.1611853840002</v>
      </c>
    </row>
    <row r="78" spans="1:69">
      <c r="A78" s="30" t="str">
        <f t="shared" si="91"/>
        <v>Главный бухгалтер</v>
      </c>
      <c r="B78" s="75" t="s">
        <v>251</v>
      </c>
      <c r="C78" s="97">
        <f t="shared" ref="C78:AH78" si="99">C53*C27/1000</f>
        <v>100</v>
      </c>
      <c r="D78" s="97">
        <f t="shared" si="99"/>
        <v>100</v>
      </c>
      <c r="E78" s="97">
        <f t="shared" si="99"/>
        <v>100</v>
      </c>
      <c r="F78" s="97">
        <f t="shared" si="99"/>
        <v>100</v>
      </c>
      <c r="G78" s="97">
        <f t="shared" si="99"/>
        <v>103</v>
      </c>
      <c r="H78" s="97">
        <f t="shared" si="99"/>
        <v>103</v>
      </c>
      <c r="I78" s="97">
        <f t="shared" si="99"/>
        <v>103</v>
      </c>
      <c r="J78" s="97">
        <f t="shared" si="99"/>
        <v>103</v>
      </c>
      <c r="K78" s="97">
        <f t="shared" si="99"/>
        <v>103</v>
      </c>
      <c r="L78" s="97">
        <f t="shared" si="99"/>
        <v>103</v>
      </c>
      <c r="M78" s="97">
        <f t="shared" si="99"/>
        <v>103</v>
      </c>
      <c r="N78" s="97">
        <f t="shared" si="99"/>
        <v>103</v>
      </c>
      <c r="O78" s="97">
        <f t="shared" si="99"/>
        <v>103</v>
      </c>
      <c r="P78" s="97">
        <f t="shared" si="99"/>
        <v>103</v>
      </c>
      <c r="Q78" s="97">
        <f t="shared" si="99"/>
        <v>103</v>
      </c>
      <c r="R78" s="97">
        <f t="shared" si="99"/>
        <v>103</v>
      </c>
      <c r="S78" s="97">
        <f t="shared" si="99"/>
        <v>106.09</v>
      </c>
      <c r="T78" s="97">
        <f t="shared" si="99"/>
        <v>106.09</v>
      </c>
      <c r="U78" s="97">
        <f t="shared" si="99"/>
        <v>106.09</v>
      </c>
      <c r="V78" s="97">
        <f t="shared" si="99"/>
        <v>106.09</v>
      </c>
      <c r="W78" s="97">
        <f t="shared" si="99"/>
        <v>106.09</v>
      </c>
      <c r="X78" s="97">
        <f t="shared" si="99"/>
        <v>106.09</v>
      </c>
      <c r="Y78" s="97">
        <f t="shared" si="99"/>
        <v>106.09</v>
      </c>
      <c r="Z78" s="97">
        <f t="shared" si="99"/>
        <v>106.09</v>
      </c>
      <c r="AA78" s="97">
        <f t="shared" si="99"/>
        <v>106.09</v>
      </c>
      <c r="AB78" s="97">
        <f t="shared" si="99"/>
        <v>106.09</v>
      </c>
      <c r="AC78" s="97">
        <f t="shared" si="99"/>
        <v>106.09</v>
      </c>
      <c r="AD78" s="97">
        <f t="shared" si="99"/>
        <v>106.09</v>
      </c>
      <c r="AE78" s="97">
        <f t="shared" si="99"/>
        <v>109.2727</v>
      </c>
      <c r="AF78" s="97">
        <f t="shared" si="99"/>
        <v>109.2727</v>
      </c>
      <c r="AG78" s="97">
        <f t="shared" si="99"/>
        <v>109.2727</v>
      </c>
      <c r="AH78" s="97">
        <f t="shared" si="99"/>
        <v>109.2727</v>
      </c>
      <c r="AI78" s="97">
        <f t="shared" ref="AI78:BJ78" si="100">AI53*AI27/1000</f>
        <v>109.2727</v>
      </c>
      <c r="AJ78" s="97">
        <f t="shared" si="100"/>
        <v>109.2727</v>
      </c>
      <c r="AK78" s="97">
        <f t="shared" si="100"/>
        <v>109.2727</v>
      </c>
      <c r="AL78" s="97">
        <f t="shared" si="100"/>
        <v>109.2727</v>
      </c>
      <c r="AM78" s="97">
        <f t="shared" si="100"/>
        <v>109.2727</v>
      </c>
      <c r="AN78" s="97">
        <f t="shared" si="100"/>
        <v>109.2727</v>
      </c>
      <c r="AO78" s="97">
        <f t="shared" si="100"/>
        <v>109.2727</v>
      </c>
      <c r="AP78" s="97">
        <f t="shared" si="100"/>
        <v>109.2727</v>
      </c>
      <c r="AQ78" s="97">
        <f t="shared" si="100"/>
        <v>112.550881</v>
      </c>
      <c r="AR78" s="97">
        <f t="shared" si="100"/>
        <v>112.550881</v>
      </c>
      <c r="AS78" s="97">
        <f t="shared" si="100"/>
        <v>112.550881</v>
      </c>
      <c r="AT78" s="97">
        <f t="shared" si="100"/>
        <v>112.550881</v>
      </c>
      <c r="AU78" s="97">
        <f t="shared" si="100"/>
        <v>112.550881</v>
      </c>
      <c r="AV78" s="97">
        <f t="shared" si="100"/>
        <v>112.550881</v>
      </c>
      <c r="AW78" s="97">
        <f t="shared" si="100"/>
        <v>112.550881</v>
      </c>
      <c r="AX78" s="97">
        <f t="shared" si="100"/>
        <v>112.550881</v>
      </c>
      <c r="AY78" s="97">
        <f t="shared" si="100"/>
        <v>112.550881</v>
      </c>
      <c r="AZ78" s="97">
        <f t="shared" si="100"/>
        <v>112.550881</v>
      </c>
      <c r="BA78" s="97">
        <f t="shared" si="100"/>
        <v>112.550881</v>
      </c>
      <c r="BB78" s="97">
        <f t="shared" si="100"/>
        <v>112.550881</v>
      </c>
      <c r="BC78" s="97">
        <f t="shared" si="100"/>
        <v>115.92740743</v>
      </c>
      <c r="BD78" s="97">
        <f t="shared" si="100"/>
        <v>115.92740743</v>
      </c>
      <c r="BE78" s="97">
        <f t="shared" si="100"/>
        <v>115.92740743</v>
      </c>
      <c r="BF78" s="97">
        <f t="shared" si="100"/>
        <v>115.92740743</v>
      </c>
      <c r="BG78" s="97">
        <f t="shared" si="100"/>
        <v>115.92740743</v>
      </c>
      <c r="BH78" s="97">
        <f t="shared" si="100"/>
        <v>115.92740743</v>
      </c>
      <c r="BI78" s="97">
        <f t="shared" si="100"/>
        <v>115.92740743</v>
      </c>
      <c r="BJ78" s="97">
        <f t="shared" si="100"/>
        <v>115.92740743</v>
      </c>
      <c r="BL78" s="25">
        <f t="shared" si="94"/>
        <v>400</v>
      </c>
      <c r="BM78" s="25">
        <f t="shared" si="94"/>
        <v>1236</v>
      </c>
      <c r="BN78" s="25">
        <f t="shared" si="94"/>
        <v>1273.08</v>
      </c>
      <c r="BO78" s="25">
        <f t="shared" si="94"/>
        <v>1311.2724000000001</v>
      </c>
      <c r="BP78" s="25">
        <f t="shared" si="94"/>
        <v>1350.610572</v>
      </c>
      <c r="BQ78" s="25">
        <f t="shared" si="94"/>
        <v>927.41925944000002</v>
      </c>
    </row>
    <row r="79" spans="1:69">
      <c r="A79" s="30" t="str">
        <f t="shared" si="91"/>
        <v>Главный технолог</v>
      </c>
      <c r="B79" s="75" t="s">
        <v>251</v>
      </c>
      <c r="C79" s="97">
        <f t="shared" ref="C79:AH79" si="101">C54*C28/1000</f>
        <v>184</v>
      </c>
      <c r="D79" s="97">
        <f t="shared" si="101"/>
        <v>184</v>
      </c>
      <c r="E79" s="97">
        <f t="shared" si="101"/>
        <v>184</v>
      </c>
      <c r="F79" s="97">
        <f t="shared" si="101"/>
        <v>184</v>
      </c>
      <c r="G79" s="97">
        <f t="shared" si="101"/>
        <v>189.52</v>
      </c>
      <c r="H79" s="97">
        <f t="shared" si="101"/>
        <v>189.52</v>
      </c>
      <c r="I79" s="97">
        <f t="shared" si="101"/>
        <v>189.52</v>
      </c>
      <c r="J79" s="97">
        <f t="shared" si="101"/>
        <v>189.52</v>
      </c>
      <c r="K79" s="97">
        <f t="shared" si="101"/>
        <v>189.52</v>
      </c>
      <c r="L79" s="97">
        <f t="shared" si="101"/>
        <v>189.52</v>
      </c>
      <c r="M79" s="97">
        <f t="shared" si="101"/>
        <v>189.52</v>
      </c>
      <c r="N79" s="97">
        <f t="shared" si="101"/>
        <v>189.52</v>
      </c>
      <c r="O79" s="97">
        <f t="shared" si="101"/>
        <v>189.52</v>
      </c>
      <c r="P79" s="97">
        <f t="shared" si="101"/>
        <v>189.52</v>
      </c>
      <c r="Q79" s="97">
        <f t="shared" si="101"/>
        <v>189.52</v>
      </c>
      <c r="R79" s="97">
        <f t="shared" si="101"/>
        <v>189.52</v>
      </c>
      <c r="S79" s="97">
        <f t="shared" si="101"/>
        <v>195.2056</v>
      </c>
      <c r="T79" s="97">
        <f t="shared" si="101"/>
        <v>195.2056</v>
      </c>
      <c r="U79" s="97">
        <f t="shared" si="101"/>
        <v>195.2056</v>
      </c>
      <c r="V79" s="97">
        <f t="shared" si="101"/>
        <v>195.2056</v>
      </c>
      <c r="W79" s="97">
        <f t="shared" si="101"/>
        <v>195.2056</v>
      </c>
      <c r="X79" s="97">
        <f t="shared" si="101"/>
        <v>195.2056</v>
      </c>
      <c r="Y79" s="97">
        <f t="shared" si="101"/>
        <v>195.2056</v>
      </c>
      <c r="Z79" s="97">
        <f t="shared" si="101"/>
        <v>195.2056</v>
      </c>
      <c r="AA79" s="97">
        <f t="shared" si="101"/>
        <v>195.2056</v>
      </c>
      <c r="AB79" s="97">
        <f t="shared" si="101"/>
        <v>195.2056</v>
      </c>
      <c r="AC79" s="97">
        <f t="shared" si="101"/>
        <v>195.2056</v>
      </c>
      <c r="AD79" s="97">
        <f t="shared" si="101"/>
        <v>195.2056</v>
      </c>
      <c r="AE79" s="97">
        <f t="shared" si="101"/>
        <v>201.061768</v>
      </c>
      <c r="AF79" s="97">
        <f t="shared" si="101"/>
        <v>201.061768</v>
      </c>
      <c r="AG79" s="97">
        <f t="shared" si="101"/>
        <v>201.061768</v>
      </c>
      <c r="AH79" s="97">
        <f t="shared" si="101"/>
        <v>201.061768</v>
      </c>
      <c r="AI79" s="97">
        <f t="shared" ref="AI79:BJ79" si="102">AI54*AI28/1000</f>
        <v>201.061768</v>
      </c>
      <c r="AJ79" s="97">
        <f t="shared" si="102"/>
        <v>201.061768</v>
      </c>
      <c r="AK79" s="97">
        <f t="shared" si="102"/>
        <v>201.061768</v>
      </c>
      <c r="AL79" s="97">
        <f t="shared" si="102"/>
        <v>201.061768</v>
      </c>
      <c r="AM79" s="97">
        <f t="shared" si="102"/>
        <v>201.061768</v>
      </c>
      <c r="AN79" s="97">
        <f t="shared" si="102"/>
        <v>201.061768</v>
      </c>
      <c r="AO79" s="97">
        <f t="shared" si="102"/>
        <v>201.061768</v>
      </c>
      <c r="AP79" s="97">
        <f t="shared" si="102"/>
        <v>201.061768</v>
      </c>
      <c r="AQ79" s="97">
        <f t="shared" si="102"/>
        <v>207.09362104000002</v>
      </c>
      <c r="AR79" s="97">
        <f t="shared" si="102"/>
        <v>207.09362104000002</v>
      </c>
      <c r="AS79" s="97">
        <f t="shared" si="102"/>
        <v>207.09362104000002</v>
      </c>
      <c r="AT79" s="97">
        <f t="shared" si="102"/>
        <v>207.09362104000002</v>
      </c>
      <c r="AU79" s="97">
        <f t="shared" si="102"/>
        <v>207.09362104000002</v>
      </c>
      <c r="AV79" s="97">
        <f t="shared" si="102"/>
        <v>207.09362104000002</v>
      </c>
      <c r="AW79" s="97">
        <f t="shared" si="102"/>
        <v>207.09362104000002</v>
      </c>
      <c r="AX79" s="97">
        <f t="shared" si="102"/>
        <v>207.09362104000002</v>
      </c>
      <c r="AY79" s="97">
        <f t="shared" si="102"/>
        <v>207.09362104000002</v>
      </c>
      <c r="AZ79" s="97">
        <f t="shared" si="102"/>
        <v>207.09362104000002</v>
      </c>
      <c r="BA79" s="97">
        <f t="shared" si="102"/>
        <v>207.09362104000002</v>
      </c>
      <c r="BB79" s="97">
        <f t="shared" si="102"/>
        <v>207.09362104000002</v>
      </c>
      <c r="BC79" s="97">
        <f t="shared" si="102"/>
        <v>213.30642967120002</v>
      </c>
      <c r="BD79" s="97">
        <f t="shared" si="102"/>
        <v>213.30642967120002</v>
      </c>
      <c r="BE79" s="97">
        <f t="shared" si="102"/>
        <v>213.30642967120002</v>
      </c>
      <c r="BF79" s="97">
        <f t="shared" si="102"/>
        <v>213.30642967120002</v>
      </c>
      <c r="BG79" s="97">
        <f t="shared" si="102"/>
        <v>213.30642967120002</v>
      </c>
      <c r="BH79" s="97">
        <f t="shared" si="102"/>
        <v>213.30642967120002</v>
      </c>
      <c r="BI79" s="97">
        <f t="shared" si="102"/>
        <v>213.30642967120002</v>
      </c>
      <c r="BJ79" s="97">
        <f t="shared" si="102"/>
        <v>213.30642967120002</v>
      </c>
      <c r="BL79" s="25">
        <f t="shared" si="94"/>
        <v>736</v>
      </c>
      <c r="BM79" s="25">
        <f t="shared" si="94"/>
        <v>2274.2400000000002</v>
      </c>
      <c r="BN79" s="25">
        <f t="shared" si="94"/>
        <v>2342.4672</v>
      </c>
      <c r="BO79" s="25">
        <f t="shared" si="94"/>
        <v>2412.7412159999999</v>
      </c>
      <c r="BP79" s="25">
        <f t="shared" si="94"/>
        <v>2485.1234524800002</v>
      </c>
      <c r="BQ79" s="25">
        <f t="shared" si="94"/>
        <v>1706.4514373696002</v>
      </c>
    </row>
    <row r="80" spans="1:69">
      <c r="A80" s="30" t="str">
        <f t="shared" si="91"/>
        <v>Начальник ОТК/Ветеринарный врач</v>
      </c>
      <c r="B80" s="75" t="s">
        <v>251</v>
      </c>
      <c r="C80" s="97">
        <f t="shared" ref="C80:AH80" si="103">C55*C29/1000</f>
        <v>189</v>
      </c>
      <c r="D80" s="97">
        <f t="shared" si="103"/>
        <v>189</v>
      </c>
      <c r="E80" s="97">
        <f t="shared" si="103"/>
        <v>189</v>
      </c>
      <c r="F80" s="97">
        <f t="shared" si="103"/>
        <v>189</v>
      </c>
      <c r="G80" s="97">
        <f t="shared" si="103"/>
        <v>194.67</v>
      </c>
      <c r="H80" s="97">
        <f t="shared" si="103"/>
        <v>194.67</v>
      </c>
      <c r="I80" s="97">
        <f t="shared" si="103"/>
        <v>194.67</v>
      </c>
      <c r="J80" s="97">
        <f t="shared" si="103"/>
        <v>194.67</v>
      </c>
      <c r="K80" s="97">
        <f t="shared" si="103"/>
        <v>194.67</v>
      </c>
      <c r="L80" s="97">
        <f t="shared" si="103"/>
        <v>194.67</v>
      </c>
      <c r="M80" s="97">
        <f t="shared" si="103"/>
        <v>194.67</v>
      </c>
      <c r="N80" s="97">
        <f t="shared" si="103"/>
        <v>194.67</v>
      </c>
      <c r="O80" s="97">
        <f t="shared" si="103"/>
        <v>194.67</v>
      </c>
      <c r="P80" s="97">
        <f t="shared" si="103"/>
        <v>194.67</v>
      </c>
      <c r="Q80" s="97">
        <f t="shared" si="103"/>
        <v>194.67</v>
      </c>
      <c r="R80" s="97">
        <f t="shared" si="103"/>
        <v>194.67</v>
      </c>
      <c r="S80" s="97">
        <f t="shared" si="103"/>
        <v>200.51009999999997</v>
      </c>
      <c r="T80" s="97">
        <f t="shared" si="103"/>
        <v>200.51009999999997</v>
      </c>
      <c r="U80" s="97">
        <f t="shared" si="103"/>
        <v>200.51009999999997</v>
      </c>
      <c r="V80" s="97">
        <f t="shared" si="103"/>
        <v>200.51009999999997</v>
      </c>
      <c r="W80" s="97">
        <f t="shared" si="103"/>
        <v>200.51009999999997</v>
      </c>
      <c r="X80" s="97">
        <f t="shared" si="103"/>
        <v>200.51009999999997</v>
      </c>
      <c r="Y80" s="97">
        <f t="shared" si="103"/>
        <v>200.51009999999997</v>
      </c>
      <c r="Z80" s="97">
        <f t="shared" si="103"/>
        <v>200.51009999999997</v>
      </c>
      <c r="AA80" s="97">
        <f t="shared" si="103"/>
        <v>200.51009999999997</v>
      </c>
      <c r="AB80" s="97">
        <f t="shared" si="103"/>
        <v>200.51009999999997</v>
      </c>
      <c r="AC80" s="97">
        <f t="shared" si="103"/>
        <v>200.51009999999997</v>
      </c>
      <c r="AD80" s="97">
        <f t="shared" si="103"/>
        <v>200.51009999999997</v>
      </c>
      <c r="AE80" s="97">
        <f t="shared" si="103"/>
        <v>206.52540300000001</v>
      </c>
      <c r="AF80" s="97">
        <f t="shared" si="103"/>
        <v>206.52540300000001</v>
      </c>
      <c r="AG80" s="97">
        <f t="shared" si="103"/>
        <v>206.52540300000001</v>
      </c>
      <c r="AH80" s="97">
        <f t="shared" si="103"/>
        <v>206.52540300000001</v>
      </c>
      <c r="AI80" s="97">
        <f t="shared" ref="AI80:BJ80" si="104">AI55*AI29/1000</f>
        <v>206.52540300000001</v>
      </c>
      <c r="AJ80" s="97">
        <f t="shared" si="104"/>
        <v>206.52540300000001</v>
      </c>
      <c r="AK80" s="97">
        <f t="shared" si="104"/>
        <v>206.52540300000001</v>
      </c>
      <c r="AL80" s="97">
        <f t="shared" si="104"/>
        <v>206.52540300000001</v>
      </c>
      <c r="AM80" s="97">
        <f t="shared" si="104"/>
        <v>206.52540300000001</v>
      </c>
      <c r="AN80" s="97">
        <f t="shared" si="104"/>
        <v>206.52540300000001</v>
      </c>
      <c r="AO80" s="97">
        <f t="shared" si="104"/>
        <v>206.52540300000001</v>
      </c>
      <c r="AP80" s="97">
        <f t="shared" si="104"/>
        <v>206.52540300000001</v>
      </c>
      <c r="AQ80" s="97">
        <f t="shared" si="104"/>
        <v>212.72116509000003</v>
      </c>
      <c r="AR80" s="97">
        <f t="shared" si="104"/>
        <v>212.72116509000003</v>
      </c>
      <c r="AS80" s="97">
        <f t="shared" si="104"/>
        <v>212.72116509000003</v>
      </c>
      <c r="AT80" s="97">
        <f t="shared" si="104"/>
        <v>212.72116509000003</v>
      </c>
      <c r="AU80" s="97">
        <f t="shared" si="104"/>
        <v>212.72116509000003</v>
      </c>
      <c r="AV80" s="97">
        <f t="shared" si="104"/>
        <v>212.72116509000003</v>
      </c>
      <c r="AW80" s="97">
        <f t="shared" si="104"/>
        <v>212.72116509000003</v>
      </c>
      <c r="AX80" s="97">
        <f t="shared" si="104"/>
        <v>212.72116509000003</v>
      </c>
      <c r="AY80" s="97">
        <f t="shared" si="104"/>
        <v>212.72116509000003</v>
      </c>
      <c r="AZ80" s="97">
        <f t="shared" si="104"/>
        <v>212.72116509000003</v>
      </c>
      <c r="BA80" s="97">
        <f t="shared" si="104"/>
        <v>212.72116509000003</v>
      </c>
      <c r="BB80" s="97">
        <f t="shared" si="104"/>
        <v>212.72116509000003</v>
      </c>
      <c r="BC80" s="97">
        <f t="shared" si="104"/>
        <v>219.10280004270001</v>
      </c>
      <c r="BD80" s="97">
        <f t="shared" si="104"/>
        <v>219.10280004270001</v>
      </c>
      <c r="BE80" s="97">
        <f t="shared" si="104"/>
        <v>219.10280004270001</v>
      </c>
      <c r="BF80" s="97">
        <f t="shared" si="104"/>
        <v>219.10280004270001</v>
      </c>
      <c r="BG80" s="97">
        <f t="shared" si="104"/>
        <v>219.10280004270001</v>
      </c>
      <c r="BH80" s="97">
        <f t="shared" si="104"/>
        <v>219.10280004270001</v>
      </c>
      <c r="BI80" s="97">
        <f t="shared" si="104"/>
        <v>219.10280004270001</v>
      </c>
      <c r="BJ80" s="97">
        <f t="shared" si="104"/>
        <v>219.10280004270001</v>
      </c>
      <c r="BL80" s="25">
        <f t="shared" si="94"/>
        <v>756</v>
      </c>
      <c r="BM80" s="25">
        <f t="shared" si="94"/>
        <v>2336.0400000000004</v>
      </c>
      <c r="BN80" s="25">
        <f t="shared" si="94"/>
        <v>2406.1211999999996</v>
      </c>
      <c r="BO80" s="25">
        <f t="shared" si="94"/>
        <v>2478.3048360000007</v>
      </c>
      <c r="BP80" s="25">
        <f t="shared" si="94"/>
        <v>2552.6539810800004</v>
      </c>
      <c r="BQ80" s="25">
        <f t="shared" si="94"/>
        <v>1752.8224003416001</v>
      </c>
    </row>
    <row r="81" spans="1:69">
      <c r="A81" s="30" t="str">
        <f t="shared" si="91"/>
        <v>Начальник смены</v>
      </c>
      <c r="B81" s="75" t="s">
        <v>251</v>
      </c>
      <c r="C81" s="97">
        <f t="shared" ref="C81:AH81" si="105">C56*C30/1000</f>
        <v>284</v>
      </c>
      <c r="D81" s="97">
        <f t="shared" si="105"/>
        <v>284</v>
      </c>
      <c r="E81" s="97">
        <f t="shared" si="105"/>
        <v>284</v>
      </c>
      <c r="F81" s="97">
        <f t="shared" si="105"/>
        <v>284</v>
      </c>
      <c r="G81" s="97">
        <f t="shared" si="105"/>
        <v>292.52</v>
      </c>
      <c r="H81" s="97">
        <f t="shared" si="105"/>
        <v>292.52</v>
      </c>
      <c r="I81" s="97">
        <f t="shared" si="105"/>
        <v>292.52</v>
      </c>
      <c r="J81" s="97">
        <f t="shared" si="105"/>
        <v>292.52</v>
      </c>
      <c r="K81" s="97">
        <f t="shared" si="105"/>
        <v>292.52</v>
      </c>
      <c r="L81" s="97">
        <f t="shared" si="105"/>
        <v>292.52</v>
      </c>
      <c r="M81" s="97">
        <f t="shared" si="105"/>
        <v>292.52</v>
      </c>
      <c r="N81" s="97">
        <f t="shared" si="105"/>
        <v>292.52</v>
      </c>
      <c r="O81" s="97">
        <f t="shared" si="105"/>
        <v>292.52</v>
      </c>
      <c r="P81" s="97">
        <f t="shared" si="105"/>
        <v>292.52</v>
      </c>
      <c r="Q81" s="97">
        <f t="shared" si="105"/>
        <v>292.52</v>
      </c>
      <c r="R81" s="97">
        <f t="shared" si="105"/>
        <v>292.52</v>
      </c>
      <c r="S81" s="97">
        <f t="shared" si="105"/>
        <v>301.29559999999998</v>
      </c>
      <c r="T81" s="97">
        <f t="shared" si="105"/>
        <v>301.29559999999998</v>
      </c>
      <c r="U81" s="97">
        <f t="shared" si="105"/>
        <v>301.29559999999998</v>
      </c>
      <c r="V81" s="97">
        <f t="shared" si="105"/>
        <v>301.29559999999998</v>
      </c>
      <c r="W81" s="97">
        <f t="shared" si="105"/>
        <v>301.29559999999998</v>
      </c>
      <c r="X81" s="97">
        <f t="shared" si="105"/>
        <v>301.29559999999998</v>
      </c>
      <c r="Y81" s="97">
        <f t="shared" si="105"/>
        <v>301.29559999999998</v>
      </c>
      <c r="Z81" s="97">
        <f t="shared" si="105"/>
        <v>301.29559999999998</v>
      </c>
      <c r="AA81" s="97">
        <f t="shared" si="105"/>
        <v>301.29559999999998</v>
      </c>
      <c r="AB81" s="97">
        <f t="shared" si="105"/>
        <v>301.29559999999998</v>
      </c>
      <c r="AC81" s="97">
        <f t="shared" si="105"/>
        <v>301.29559999999998</v>
      </c>
      <c r="AD81" s="97">
        <f t="shared" si="105"/>
        <v>301.29559999999998</v>
      </c>
      <c r="AE81" s="97">
        <f t="shared" si="105"/>
        <v>310.33446800000002</v>
      </c>
      <c r="AF81" s="97">
        <f t="shared" si="105"/>
        <v>310.33446800000002</v>
      </c>
      <c r="AG81" s="97">
        <f t="shared" si="105"/>
        <v>310.33446800000002</v>
      </c>
      <c r="AH81" s="97">
        <f t="shared" si="105"/>
        <v>310.33446800000002</v>
      </c>
      <c r="AI81" s="97">
        <f t="shared" ref="AI81:BJ81" si="106">AI56*AI30/1000</f>
        <v>310.33446800000002</v>
      </c>
      <c r="AJ81" s="97">
        <f t="shared" si="106"/>
        <v>310.33446800000002</v>
      </c>
      <c r="AK81" s="97">
        <f t="shared" si="106"/>
        <v>310.33446800000002</v>
      </c>
      <c r="AL81" s="97">
        <f t="shared" si="106"/>
        <v>310.33446800000002</v>
      </c>
      <c r="AM81" s="97">
        <f t="shared" si="106"/>
        <v>310.33446800000002</v>
      </c>
      <c r="AN81" s="97">
        <f t="shared" si="106"/>
        <v>310.33446800000002</v>
      </c>
      <c r="AO81" s="97">
        <f t="shared" si="106"/>
        <v>310.33446800000002</v>
      </c>
      <c r="AP81" s="97">
        <f t="shared" si="106"/>
        <v>310.33446800000002</v>
      </c>
      <c r="AQ81" s="97">
        <f t="shared" si="106"/>
        <v>319.64450204000008</v>
      </c>
      <c r="AR81" s="97">
        <f t="shared" si="106"/>
        <v>319.64450204000008</v>
      </c>
      <c r="AS81" s="97">
        <f t="shared" si="106"/>
        <v>319.64450204000008</v>
      </c>
      <c r="AT81" s="97">
        <f t="shared" si="106"/>
        <v>319.64450204000008</v>
      </c>
      <c r="AU81" s="97">
        <f t="shared" si="106"/>
        <v>319.64450204000008</v>
      </c>
      <c r="AV81" s="97">
        <f t="shared" si="106"/>
        <v>319.64450204000008</v>
      </c>
      <c r="AW81" s="97">
        <f t="shared" si="106"/>
        <v>319.64450204000008</v>
      </c>
      <c r="AX81" s="97">
        <f t="shared" si="106"/>
        <v>319.64450204000008</v>
      </c>
      <c r="AY81" s="97">
        <f t="shared" si="106"/>
        <v>319.64450204000008</v>
      </c>
      <c r="AZ81" s="97">
        <f t="shared" si="106"/>
        <v>319.64450204000008</v>
      </c>
      <c r="BA81" s="97">
        <f t="shared" si="106"/>
        <v>319.64450204000008</v>
      </c>
      <c r="BB81" s="97">
        <f t="shared" si="106"/>
        <v>319.64450204000008</v>
      </c>
      <c r="BC81" s="97">
        <f t="shared" si="106"/>
        <v>329.23383710120004</v>
      </c>
      <c r="BD81" s="97">
        <f t="shared" si="106"/>
        <v>329.23383710120004</v>
      </c>
      <c r="BE81" s="97">
        <f t="shared" si="106"/>
        <v>329.23383710120004</v>
      </c>
      <c r="BF81" s="97">
        <f t="shared" si="106"/>
        <v>329.23383710120004</v>
      </c>
      <c r="BG81" s="97">
        <f t="shared" si="106"/>
        <v>329.23383710120004</v>
      </c>
      <c r="BH81" s="97">
        <f t="shared" si="106"/>
        <v>329.23383710120004</v>
      </c>
      <c r="BI81" s="97">
        <f t="shared" si="106"/>
        <v>329.23383710120004</v>
      </c>
      <c r="BJ81" s="97">
        <f t="shared" si="106"/>
        <v>329.23383710120004</v>
      </c>
      <c r="BL81" s="25">
        <f t="shared" si="94"/>
        <v>1136</v>
      </c>
      <c r="BM81" s="25">
        <f t="shared" si="94"/>
        <v>3510.24</v>
      </c>
      <c r="BN81" s="25">
        <f t="shared" si="94"/>
        <v>3615.5471999999995</v>
      </c>
      <c r="BO81" s="25">
        <f t="shared" si="94"/>
        <v>3724.0136160000002</v>
      </c>
      <c r="BP81" s="25">
        <f t="shared" si="94"/>
        <v>3835.7340244800012</v>
      </c>
      <c r="BQ81" s="25">
        <f t="shared" si="94"/>
        <v>2633.8706968096008</v>
      </c>
    </row>
    <row r="82" spans="1:69">
      <c r="A82" s="30" t="str">
        <f t="shared" si="91"/>
        <v>Бухгалтер</v>
      </c>
      <c r="B82" s="75" t="s">
        <v>251</v>
      </c>
      <c r="C82" s="97">
        <f t="shared" ref="C82:AH82" si="107">C57*C31/1000</f>
        <v>130</v>
      </c>
      <c r="D82" s="97">
        <f t="shared" si="107"/>
        <v>130</v>
      </c>
      <c r="E82" s="97">
        <f t="shared" si="107"/>
        <v>130</v>
      </c>
      <c r="F82" s="97">
        <f t="shared" si="107"/>
        <v>130</v>
      </c>
      <c r="G82" s="97">
        <f t="shared" si="107"/>
        <v>133.9</v>
      </c>
      <c r="H82" s="97">
        <f t="shared" si="107"/>
        <v>133.9</v>
      </c>
      <c r="I82" s="97">
        <f t="shared" si="107"/>
        <v>133.9</v>
      </c>
      <c r="J82" s="97">
        <f t="shared" si="107"/>
        <v>133.9</v>
      </c>
      <c r="K82" s="97">
        <f t="shared" si="107"/>
        <v>133.9</v>
      </c>
      <c r="L82" s="97">
        <f t="shared" si="107"/>
        <v>133.9</v>
      </c>
      <c r="M82" s="97">
        <f t="shared" si="107"/>
        <v>133.9</v>
      </c>
      <c r="N82" s="97">
        <f t="shared" si="107"/>
        <v>133.9</v>
      </c>
      <c r="O82" s="97">
        <f t="shared" si="107"/>
        <v>133.9</v>
      </c>
      <c r="P82" s="97">
        <f t="shared" si="107"/>
        <v>133.9</v>
      </c>
      <c r="Q82" s="97">
        <f t="shared" si="107"/>
        <v>133.9</v>
      </c>
      <c r="R82" s="97">
        <f t="shared" si="107"/>
        <v>133.9</v>
      </c>
      <c r="S82" s="97">
        <f t="shared" si="107"/>
        <v>137.917</v>
      </c>
      <c r="T82" s="97">
        <f t="shared" si="107"/>
        <v>137.917</v>
      </c>
      <c r="U82" s="97">
        <f t="shared" si="107"/>
        <v>137.917</v>
      </c>
      <c r="V82" s="97">
        <f t="shared" si="107"/>
        <v>137.917</v>
      </c>
      <c r="W82" s="97">
        <f t="shared" si="107"/>
        <v>137.917</v>
      </c>
      <c r="X82" s="97">
        <f t="shared" si="107"/>
        <v>137.917</v>
      </c>
      <c r="Y82" s="97">
        <f t="shared" si="107"/>
        <v>137.917</v>
      </c>
      <c r="Z82" s="97">
        <f t="shared" si="107"/>
        <v>137.917</v>
      </c>
      <c r="AA82" s="97">
        <f t="shared" si="107"/>
        <v>137.917</v>
      </c>
      <c r="AB82" s="97">
        <f t="shared" si="107"/>
        <v>137.917</v>
      </c>
      <c r="AC82" s="97">
        <f t="shared" si="107"/>
        <v>137.917</v>
      </c>
      <c r="AD82" s="97">
        <f t="shared" si="107"/>
        <v>137.917</v>
      </c>
      <c r="AE82" s="97">
        <f t="shared" si="107"/>
        <v>142.05451000000002</v>
      </c>
      <c r="AF82" s="97">
        <f t="shared" si="107"/>
        <v>142.05451000000002</v>
      </c>
      <c r="AG82" s="97">
        <f t="shared" si="107"/>
        <v>142.05451000000002</v>
      </c>
      <c r="AH82" s="97">
        <f t="shared" si="107"/>
        <v>142.05451000000002</v>
      </c>
      <c r="AI82" s="97">
        <f t="shared" ref="AI82:BJ82" si="108">AI57*AI31/1000</f>
        <v>142.05451000000002</v>
      </c>
      <c r="AJ82" s="97">
        <f t="shared" si="108"/>
        <v>142.05451000000002</v>
      </c>
      <c r="AK82" s="97">
        <f t="shared" si="108"/>
        <v>142.05451000000002</v>
      </c>
      <c r="AL82" s="97">
        <f t="shared" si="108"/>
        <v>142.05451000000002</v>
      </c>
      <c r="AM82" s="97">
        <f t="shared" si="108"/>
        <v>142.05451000000002</v>
      </c>
      <c r="AN82" s="97">
        <f t="shared" si="108"/>
        <v>142.05451000000002</v>
      </c>
      <c r="AO82" s="97">
        <f t="shared" si="108"/>
        <v>142.05451000000002</v>
      </c>
      <c r="AP82" s="97">
        <f t="shared" si="108"/>
        <v>142.05451000000002</v>
      </c>
      <c r="AQ82" s="97">
        <f t="shared" si="108"/>
        <v>146.31614530000002</v>
      </c>
      <c r="AR82" s="97">
        <f t="shared" si="108"/>
        <v>146.31614530000002</v>
      </c>
      <c r="AS82" s="97">
        <f t="shared" si="108"/>
        <v>146.31614530000002</v>
      </c>
      <c r="AT82" s="97">
        <f t="shared" si="108"/>
        <v>146.31614530000002</v>
      </c>
      <c r="AU82" s="97">
        <f t="shared" si="108"/>
        <v>146.31614530000002</v>
      </c>
      <c r="AV82" s="97">
        <f t="shared" si="108"/>
        <v>146.31614530000002</v>
      </c>
      <c r="AW82" s="97">
        <f t="shared" si="108"/>
        <v>146.31614530000002</v>
      </c>
      <c r="AX82" s="97">
        <f t="shared" si="108"/>
        <v>146.31614530000002</v>
      </c>
      <c r="AY82" s="97">
        <f t="shared" si="108"/>
        <v>146.31614530000002</v>
      </c>
      <c r="AZ82" s="97">
        <f t="shared" si="108"/>
        <v>146.31614530000002</v>
      </c>
      <c r="BA82" s="97">
        <f t="shared" si="108"/>
        <v>146.31614530000002</v>
      </c>
      <c r="BB82" s="97">
        <f t="shared" si="108"/>
        <v>146.31614530000002</v>
      </c>
      <c r="BC82" s="97">
        <f t="shared" si="108"/>
        <v>150.70562965900001</v>
      </c>
      <c r="BD82" s="97">
        <f t="shared" si="108"/>
        <v>150.70562965900001</v>
      </c>
      <c r="BE82" s="97">
        <f t="shared" si="108"/>
        <v>150.70562965900001</v>
      </c>
      <c r="BF82" s="97">
        <f t="shared" si="108"/>
        <v>150.70562965900001</v>
      </c>
      <c r="BG82" s="97">
        <f t="shared" si="108"/>
        <v>150.70562965900001</v>
      </c>
      <c r="BH82" s="97">
        <f t="shared" si="108"/>
        <v>150.70562965900001</v>
      </c>
      <c r="BI82" s="97">
        <f t="shared" si="108"/>
        <v>150.70562965900001</v>
      </c>
      <c r="BJ82" s="97">
        <f t="shared" si="108"/>
        <v>150.70562965900001</v>
      </c>
      <c r="BL82" s="25">
        <f t="shared" si="94"/>
        <v>520</v>
      </c>
      <c r="BM82" s="25">
        <f t="shared" si="94"/>
        <v>1606.8000000000004</v>
      </c>
      <c r="BN82" s="25">
        <f t="shared" si="94"/>
        <v>1655.0039999999997</v>
      </c>
      <c r="BO82" s="25">
        <f t="shared" si="94"/>
        <v>1704.6541199999999</v>
      </c>
      <c r="BP82" s="25">
        <f t="shared" si="94"/>
        <v>1755.7937436000002</v>
      </c>
      <c r="BQ82" s="25">
        <f t="shared" si="94"/>
        <v>1205.6450372720001</v>
      </c>
    </row>
    <row r="83" spans="1:69">
      <c r="A83" s="18" t="s">
        <v>11</v>
      </c>
      <c r="B83" s="54" t="s">
        <v>250</v>
      </c>
      <c r="C83" s="98">
        <f t="shared" ref="C83:AH83" si="109">C60+C71+C75</f>
        <v>1151</v>
      </c>
      <c r="D83" s="98">
        <f t="shared" si="109"/>
        <v>1151</v>
      </c>
      <c r="E83" s="98">
        <f t="shared" si="109"/>
        <v>1151</v>
      </c>
      <c r="F83" s="98">
        <f t="shared" si="109"/>
        <v>7082</v>
      </c>
      <c r="G83" s="98">
        <f t="shared" si="109"/>
        <v>7294.4600000000009</v>
      </c>
      <c r="H83" s="98">
        <f t="shared" si="109"/>
        <v>7294.4600000000009</v>
      </c>
      <c r="I83" s="98">
        <f t="shared" si="109"/>
        <v>7294.4600000000009</v>
      </c>
      <c r="J83" s="98">
        <f t="shared" si="109"/>
        <v>7294.4600000000009</v>
      </c>
      <c r="K83" s="98">
        <f t="shared" si="109"/>
        <v>7294.4600000000009</v>
      </c>
      <c r="L83" s="98">
        <f t="shared" si="109"/>
        <v>7294.4600000000009</v>
      </c>
      <c r="M83" s="98">
        <f t="shared" si="109"/>
        <v>7294.4600000000009</v>
      </c>
      <c r="N83" s="98">
        <f t="shared" si="109"/>
        <v>7294.4600000000009</v>
      </c>
      <c r="O83" s="98">
        <f t="shared" si="109"/>
        <v>7294.4600000000009</v>
      </c>
      <c r="P83" s="98">
        <f t="shared" si="109"/>
        <v>7294.4600000000009</v>
      </c>
      <c r="Q83" s="98">
        <f t="shared" si="109"/>
        <v>7294.4600000000009</v>
      </c>
      <c r="R83" s="98">
        <f t="shared" si="109"/>
        <v>7294.4600000000009</v>
      </c>
      <c r="S83" s="98">
        <f t="shared" si="109"/>
        <v>7513.2937999999995</v>
      </c>
      <c r="T83" s="98">
        <f t="shared" si="109"/>
        <v>7513.2937999999995</v>
      </c>
      <c r="U83" s="98">
        <f t="shared" si="109"/>
        <v>7513.2937999999995</v>
      </c>
      <c r="V83" s="98">
        <f t="shared" si="109"/>
        <v>7513.2937999999995</v>
      </c>
      <c r="W83" s="98">
        <f t="shared" si="109"/>
        <v>7513.2937999999995</v>
      </c>
      <c r="X83" s="98">
        <f t="shared" si="109"/>
        <v>7513.2937999999995</v>
      </c>
      <c r="Y83" s="98">
        <f t="shared" si="109"/>
        <v>7513.2937999999995</v>
      </c>
      <c r="Z83" s="98">
        <f t="shared" si="109"/>
        <v>7513.2937999999995</v>
      </c>
      <c r="AA83" s="98">
        <f t="shared" si="109"/>
        <v>7513.2937999999995</v>
      </c>
      <c r="AB83" s="98">
        <f t="shared" si="109"/>
        <v>7513.2937999999995</v>
      </c>
      <c r="AC83" s="98">
        <f t="shared" si="109"/>
        <v>7513.2937999999995</v>
      </c>
      <c r="AD83" s="98">
        <f t="shared" si="109"/>
        <v>7513.2937999999995</v>
      </c>
      <c r="AE83" s="98">
        <f t="shared" si="109"/>
        <v>7738.6926139999996</v>
      </c>
      <c r="AF83" s="98">
        <f t="shared" si="109"/>
        <v>7738.6926139999996</v>
      </c>
      <c r="AG83" s="98">
        <f t="shared" si="109"/>
        <v>7738.6926139999996</v>
      </c>
      <c r="AH83" s="98">
        <f t="shared" si="109"/>
        <v>7738.6926139999996</v>
      </c>
      <c r="AI83" s="98">
        <f t="shared" ref="AI83:BJ83" si="110">AI60+AI71+AI75</f>
        <v>7738.6926139999996</v>
      </c>
      <c r="AJ83" s="98">
        <f t="shared" si="110"/>
        <v>7738.6926139999996</v>
      </c>
      <c r="AK83" s="98">
        <f t="shared" si="110"/>
        <v>7738.6926139999996</v>
      </c>
      <c r="AL83" s="98">
        <f t="shared" si="110"/>
        <v>7738.6926139999996</v>
      </c>
      <c r="AM83" s="98">
        <f t="shared" si="110"/>
        <v>7738.6926139999996</v>
      </c>
      <c r="AN83" s="98">
        <f t="shared" si="110"/>
        <v>7738.6926139999996</v>
      </c>
      <c r="AO83" s="98">
        <f t="shared" si="110"/>
        <v>7738.6926139999996</v>
      </c>
      <c r="AP83" s="98">
        <f t="shared" si="110"/>
        <v>7738.6926139999996</v>
      </c>
      <c r="AQ83" s="98">
        <f t="shared" si="110"/>
        <v>7970.8533924200001</v>
      </c>
      <c r="AR83" s="98">
        <f t="shared" si="110"/>
        <v>7970.8533924200001</v>
      </c>
      <c r="AS83" s="98">
        <f t="shared" si="110"/>
        <v>7970.8533924200001</v>
      </c>
      <c r="AT83" s="98">
        <f t="shared" si="110"/>
        <v>7970.8533924200001</v>
      </c>
      <c r="AU83" s="98">
        <f t="shared" si="110"/>
        <v>7970.8533924200001</v>
      </c>
      <c r="AV83" s="98">
        <f t="shared" si="110"/>
        <v>7970.8533924200001</v>
      </c>
      <c r="AW83" s="98">
        <f t="shared" si="110"/>
        <v>7970.8533924200001</v>
      </c>
      <c r="AX83" s="98">
        <f t="shared" si="110"/>
        <v>7970.8533924200001</v>
      </c>
      <c r="AY83" s="98">
        <f t="shared" si="110"/>
        <v>7970.8533924200001</v>
      </c>
      <c r="AZ83" s="98">
        <f t="shared" si="110"/>
        <v>7970.8533924200001</v>
      </c>
      <c r="BA83" s="98">
        <f t="shared" si="110"/>
        <v>7970.8533924200001</v>
      </c>
      <c r="BB83" s="98">
        <f t="shared" si="110"/>
        <v>7970.8533924200001</v>
      </c>
      <c r="BC83" s="98">
        <f t="shared" si="110"/>
        <v>8209.9789941925992</v>
      </c>
      <c r="BD83" s="98">
        <f t="shared" si="110"/>
        <v>8209.9789941925992</v>
      </c>
      <c r="BE83" s="98">
        <f t="shared" si="110"/>
        <v>8209.9789941925992</v>
      </c>
      <c r="BF83" s="98">
        <f t="shared" si="110"/>
        <v>8209.9789941925992</v>
      </c>
      <c r="BG83" s="98">
        <f t="shared" si="110"/>
        <v>8209.9789941925992</v>
      </c>
      <c r="BH83" s="98">
        <f t="shared" si="110"/>
        <v>8209.9789941925992</v>
      </c>
      <c r="BI83" s="98">
        <f t="shared" si="110"/>
        <v>8209.9789941925992</v>
      </c>
      <c r="BJ83" s="98">
        <f t="shared" si="110"/>
        <v>8209.9789941925992</v>
      </c>
      <c r="BL83" s="24">
        <f t="shared" ref="BL83:BQ83" si="111">SUMIF($C$2:$BJ$2,BL$2,$C83:$BJ83)</f>
        <v>10535</v>
      </c>
      <c r="BM83" s="24">
        <f t="shared" si="111"/>
        <v>87533.520000000019</v>
      </c>
      <c r="BN83" s="24">
        <f t="shared" si="111"/>
        <v>90159.525599999994</v>
      </c>
      <c r="BO83" s="24">
        <f t="shared" si="111"/>
        <v>92864.311367999995</v>
      </c>
      <c r="BP83" s="24">
        <f t="shared" si="111"/>
        <v>95650.240709040008</v>
      </c>
      <c r="BQ83" s="24">
        <f t="shared" si="111"/>
        <v>65679.831953540794</v>
      </c>
    </row>
    <row r="84" spans="1:69">
      <c r="A84" s="55"/>
      <c r="B84" s="55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</row>
    <row r="85" spans="1:69">
      <c r="A85" s="49" t="s">
        <v>165</v>
      </c>
      <c r="B85" s="47" t="s">
        <v>1</v>
      </c>
      <c r="BL85" s="144"/>
      <c r="BM85" s="144"/>
      <c r="BN85" s="144"/>
      <c r="BO85" s="144"/>
      <c r="BP85" s="144"/>
      <c r="BQ85" s="144"/>
    </row>
    <row r="86" spans="1:69">
      <c r="A86" s="34" t="str">
        <f t="shared" ref="A86:A96" si="112">A117</f>
        <v>Производственный персонал</v>
      </c>
      <c r="B86" s="54" t="s">
        <v>250</v>
      </c>
      <c r="C86" s="98">
        <f t="shared" ref="C86:AH86" si="113">SUM(C87:C96)</f>
        <v>0</v>
      </c>
      <c r="D86" s="98">
        <f t="shared" si="113"/>
        <v>0</v>
      </c>
      <c r="E86" s="98">
        <f t="shared" si="113"/>
        <v>0</v>
      </c>
      <c r="F86" s="98">
        <f t="shared" si="113"/>
        <v>2304.37</v>
      </c>
      <c r="G86" s="98">
        <f t="shared" si="113"/>
        <v>2373.5011</v>
      </c>
      <c r="H86" s="98">
        <f t="shared" si="113"/>
        <v>2373.5011</v>
      </c>
      <c r="I86" s="98">
        <f t="shared" si="113"/>
        <v>2373.5011</v>
      </c>
      <c r="J86" s="98">
        <f t="shared" si="113"/>
        <v>2373.5011</v>
      </c>
      <c r="K86" s="98">
        <f t="shared" si="113"/>
        <v>2373.5011</v>
      </c>
      <c r="L86" s="98">
        <f t="shared" si="113"/>
        <v>2373.5011</v>
      </c>
      <c r="M86" s="98">
        <f t="shared" si="113"/>
        <v>2373.5011</v>
      </c>
      <c r="N86" s="98">
        <f t="shared" si="113"/>
        <v>2373.5011</v>
      </c>
      <c r="O86" s="98">
        <f t="shared" si="113"/>
        <v>2373.5011</v>
      </c>
      <c r="P86" s="98">
        <f t="shared" si="113"/>
        <v>2373.5011</v>
      </c>
      <c r="Q86" s="98">
        <f t="shared" si="113"/>
        <v>2373.5011</v>
      </c>
      <c r="R86" s="98">
        <f t="shared" si="113"/>
        <v>2373.5011</v>
      </c>
      <c r="S86" s="98">
        <f t="shared" si="113"/>
        <v>2444.7061329999997</v>
      </c>
      <c r="T86" s="98">
        <f t="shared" si="113"/>
        <v>2444.7061329999997</v>
      </c>
      <c r="U86" s="98">
        <f t="shared" si="113"/>
        <v>2444.7061329999997</v>
      </c>
      <c r="V86" s="98">
        <f t="shared" si="113"/>
        <v>2444.7061329999997</v>
      </c>
      <c r="W86" s="98">
        <f t="shared" si="113"/>
        <v>2444.7061329999997</v>
      </c>
      <c r="X86" s="98">
        <f t="shared" si="113"/>
        <v>2444.7061329999997</v>
      </c>
      <c r="Y86" s="98">
        <f t="shared" si="113"/>
        <v>2444.7061329999997</v>
      </c>
      <c r="Z86" s="98">
        <f t="shared" si="113"/>
        <v>2444.7061329999997</v>
      </c>
      <c r="AA86" s="98">
        <f t="shared" si="113"/>
        <v>2444.7061329999997</v>
      </c>
      <c r="AB86" s="98">
        <f t="shared" si="113"/>
        <v>2444.7061329999997</v>
      </c>
      <c r="AC86" s="98">
        <f t="shared" si="113"/>
        <v>2444.7061329999997</v>
      </c>
      <c r="AD86" s="98">
        <f t="shared" si="113"/>
        <v>2444.7061329999997</v>
      </c>
      <c r="AE86" s="98">
        <f t="shared" si="113"/>
        <v>2518.0473169899997</v>
      </c>
      <c r="AF86" s="98">
        <f t="shared" si="113"/>
        <v>2518.0473169899997</v>
      </c>
      <c r="AG86" s="98">
        <f t="shared" si="113"/>
        <v>2518.0473169899997</v>
      </c>
      <c r="AH86" s="98">
        <f t="shared" si="113"/>
        <v>2518.0473169899997</v>
      </c>
      <c r="AI86" s="98">
        <f t="shared" ref="AI86:BJ86" si="114">SUM(AI87:AI96)</f>
        <v>2518.0473169899997</v>
      </c>
      <c r="AJ86" s="98">
        <f t="shared" si="114"/>
        <v>2518.0473169899997</v>
      </c>
      <c r="AK86" s="98">
        <f t="shared" si="114"/>
        <v>2518.0473169899997</v>
      </c>
      <c r="AL86" s="98">
        <f t="shared" si="114"/>
        <v>2518.0473169899997</v>
      </c>
      <c r="AM86" s="98">
        <f t="shared" si="114"/>
        <v>2518.0473169899997</v>
      </c>
      <c r="AN86" s="98">
        <f t="shared" si="114"/>
        <v>2518.0473169899997</v>
      </c>
      <c r="AO86" s="98">
        <f t="shared" si="114"/>
        <v>2518.0473169899997</v>
      </c>
      <c r="AP86" s="98">
        <f t="shared" si="114"/>
        <v>2518.0473169899997</v>
      </c>
      <c r="AQ86" s="98">
        <f t="shared" si="114"/>
        <v>2593.5887364997002</v>
      </c>
      <c r="AR86" s="98">
        <f t="shared" si="114"/>
        <v>2593.5887364997002</v>
      </c>
      <c r="AS86" s="98">
        <f t="shared" si="114"/>
        <v>2593.5887364997002</v>
      </c>
      <c r="AT86" s="98">
        <f t="shared" si="114"/>
        <v>2593.5887364997002</v>
      </c>
      <c r="AU86" s="98">
        <f t="shared" si="114"/>
        <v>2593.5887364997002</v>
      </c>
      <c r="AV86" s="98">
        <f t="shared" si="114"/>
        <v>2593.5887364997002</v>
      </c>
      <c r="AW86" s="98">
        <f t="shared" si="114"/>
        <v>2593.5887364997002</v>
      </c>
      <c r="AX86" s="98">
        <f t="shared" si="114"/>
        <v>2593.5887364997002</v>
      </c>
      <c r="AY86" s="98">
        <f t="shared" si="114"/>
        <v>2593.5887364997002</v>
      </c>
      <c r="AZ86" s="98">
        <f t="shared" si="114"/>
        <v>2593.5887364997002</v>
      </c>
      <c r="BA86" s="98">
        <f t="shared" si="114"/>
        <v>2593.5887364997002</v>
      </c>
      <c r="BB86" s="98">
        <f t="shared" si="114"/>
        <v>2593.5887364997002</v>
      </c>
      <c r="BC86" s="98">
        <f t="shared" si="114"/>
        <v>2671.3963985946907</v>
      </c>
      <c r="BD86" s="98">
        <f t="shared" si="114"/>
        <v>2671.3963985946907</v>
      </c>
      <c r="BE86" s="98">
        <f t="shared" si="114"/>
        <v>2671.3963985946907</v>
      </c>
      <c r="BF86" s="98">
        <f t="shared" si="114"/>
        <v>2671.3963985946907</v>
      </c>
      <c r="BG86" s="98">
        <f t="shared" si="114"/>
        <v>2671.3963985946907</v>
      </c>
      <c r="BH86" s="98">
        <f t="shared" si="114"/>
        <v>2671.3963985946907</v>
      </c>
      <c r="BI86" s="98">
        <f t="shared" si="114"/>
        <v>2671.3963985946907</v>
      </c>
      <c r="BJ86" s="98">
        <f t="shared" si="114"/>
        <v>2671.3963985946907</v>
      </c>
      <c r="BL86" s="24">
        <f t="shared" ref="BL86:BQ95" si="115">SUMIF($C$2:$BJ$2,BL$2,$C86:$BJ86)</f>
        <v>2304.37</v>
      </c>
      <c r="BM86" s="24">
        <f t="shared" si="115"/>
        <v>28482.013200000005</v>
      </c>
      <c r="BN86" s="24">
        <f t="shared" si="115"/>
        <v>29336.473595999996</v>
      </c>
      <c r="BO86" s="24">
        <f t="shared" si="115"/>
        <v>30216.567803879996</v>
      </c>
      <c r="BP86" s="24">
        <f t="shared" si="115"/>
        <v>31123.0648379964</v>
      </c>
      <c r="BQ86" s="24">
        <f t="shared" si="115"/>
        <v>21371.171188757526</v>
      </c>
    </row>
    <row r="87" spans="1:69">
      <c r="A87" s="30" t="str">
        <f t="shared" si="112"/>
        <v>Лаборант-микробиолог</v>
      </c>
      <c r="B87" s="75" t="s">
        <v>251</v>
      </c>
      <c r="C87" s="176">
        <f>Допущения!$C$70*C61</f>
        <v>0</v>
      </c>
      <c r="D87" s="176">
        <f>Допущения!$C$70*D61</f>
        <v>0</v>
      </c>
      <c r="E87" s="176">
        <f>Допущения!$C$70*E61</f>
        <v>0</v>
      </c>
      <c r="F87" s="176">
        <f>Допущения!$C$70*F61</f>
        <v>67.08</v>
      </c>
      <c r="G87" s="176">
        <f>Допущения!$C$70*G61</f>
        <v>69.092399999999998</v>
      </c>
      <c r="H87" s="176">
        <f>Допущения!$C$70*H61</f>
        <v>69.092399999999998</v>
      </c>
      <c r="I87" s="176">
        <f>Допущения!$C$70*I61</f>
        <v>69.092399999999998</v>
      </c>
      <c r="J87" s="176">
        <f>Допущения!$C$70*J61</f>
        <v>69.092399999999998</v>
      </c>
      <c r="K87" s="176">
        <f>Допущения!$C$70*K61</f>
        <v>69.092399999999998</v>
      </c>
      <c r="L87" s="176">
        <f>Допущения!$C$70*L61</f>
        <v>69.092399999999998</v>
      </c>
      <c r="M87" s="176">
        <f>Допущения!$C$70*M61</f>
        <v>69.092399999999998</v>
      </c>
      <c r="N87" s="176">
        <f>Допущения!$C$70*N61</f>
        <v>69.092399999999998</v>
      </c>
      <c r="O87" s="176">
        <f>Допущения!$C$70*O61</f>
        <v>69.092399999999998</v>
      </c>
      <c r="P87" s="176">
        <f>Допущения!$C$70*P61</f>
        <v>69.092399999999998</v>
      </c>
      <c r="Q87" s="176">
        <f>Допущения!$C$70*Q61</f>
        <v>69.092399999999998</v>
      </c>
      <c r="R87" s="176">
        <f>Допущения!$C$70*R61</f>
        <v>69.092399999999998</v>
      </c>
      <c r="S87" s="176">
        <f>Допущения!$C$70*S61</f>
        <v>71.165171999999998</v>
      </c>
      <c r="T87" s="176">
        <f>Допущения!$C$70*T61</f>
        <v>71.165171999999998</v>
      </c>
      <c r="U87" s="176">
        <f>Допущения!$C$70*U61</f>
        <v>71.165171999999998</v>
      </c>
      <c r="V87" s="176">
        <f>Допущения!$C$70*V61</f>
        <v>71.165171999999998</v>
      </c>
      <c r="W87" s="176">
        <f>Допущения!$C$70*W61</f>
        <v>71.165171999999998</v>
      </c>
      <c r="X87" s="176">
        <f>Допущения!$C$70*X61</f>
        <v>71.165171999999998</v>
      </c>
      <c r="Y87" s="176">
        <f>Допущения!$C$70*Y61</f>
        <v>71.165171999999998</v>
      </c>
      <c r="Z87" s="176">
        <f>Допущения!$C$70*Z61</f>
        <v>71.165171999999998</v>
      </c>
      <c r="AA87" s="176">
        <f>Допущения!$C$70*AA61</f>
        <v>71.165171999999998</v>
      </c>
      <c r="AB87" s="176">
        <f>Допущения!$C$70*AB61</f>
        <v>71.165171999999998</v>
      </c>
      <c r="AC87" s="176">
        <f>Допущения!$C$70*AC61</f>
        <v>71.165171999999998</v>
      </c>
      <c r="AD87" s="176">
        <f>Допущения!$C$70*AD61</f>
        <v>71.165171999999998</v>
      </c>
      <c r="AE87" s="176">
        <f>Допущения!$C$70*AE61</f>
        <v>73.300127160000002</v>
      </c>
      <c r="AF87" s="176">
        <f>Допущения!$C$70*AF61</f>
        <v>73.300127160000002</v>
      </c>
      <c r="AG87" s="176">
        <f>Допущения!$C$70*AG61</f>
        <v>73.300127160000002</v>
      </c>
      <c r="AH87" s="176">
        <f>Допущения!$C$70*AH61</f>
        <v>73.300127160000002</v>
      </c>
      <c r="AI87" s="176">
        <f>Допущения!$C$70*AI61</f>
        <v>73.300127160000002</v>
      </c>
      <c r="AJ87" s="176">
        <f>Допущения!$C$70*AJ61</f>
        <v>73.300127160000002</v>
      </c>
      <c r="AK87" s="176">
        <f>Допущения!$C$70*AK61</f>
        <v>73.300127160000002</v>
      </c>
      <c r="AL87" s="176">
        <f>Допущения!$C$70*AL61</f>
        <v>73.300127160000002</v>
      </c>
      <c r="AM87" s="176">
        <f>Допущения!$C$70*AM61</f>
        <v>73.300127160000002</v>
      </c>
      <c r="AN87" s="176">
        <f>Допущения!$C$70*AN61</f>
        <v>73.300127160000002</v>
      </c>
      <c r="AO87" s="176">
        <f>Допущения!$C$70*AO61</f>
        <v>73.300127160000002</v>
      </c>
      <c r="AP87" s="176">
        <f>Допущения!$C$70*AP61</f>
        <v>73.300127160000002</v>
      </c>
      <c r="AQ87" s="176">
        <f>Допущения!$C$70*AQ61</f>
        <v>75.499130974799996</v>
      </c>
      <c r="AR87" s="176">
        <f>Допущения!$C$70*AR61</f>
        <v>75.499130974799996</v>
      </c>
      <c r="AS87" s="176">
        <f>Допущения!$C$70*AS61</f>
        <v>75.499130974799996</v>
      </c>
      <c r="AT87" s="176">
        <f>Допущения!$C$70*AT61</f>
        <v>75.499130974799996</v>
      </c>
      <c r="AU87" s="176">
        <f>Допущения!$C$70*AU61</f>
        <v>75.499130974799996</v>
      </c>
      <c r="AV87" s="176">
        <f>Допущения!$C$70*AV61</f>
        <v>75.499130974799996</v>
      </c>
      <c r="AW87" s="176">
        <f>Допущения!$C$70*AW61</f>
        <v>75.499130974799996</v>
      </c>
      <c r="AX87" s="176">
        <f>Допущения!$C$70*AX61</f>
        <v>75.499130974799996</v>
      </c>
      <c r="AY87" s="176">
        <f>Допущения!$C$70*AY61</f>
        <v>75.499130974799996</v>
      </c>
      <c r="AZ87" s="176">
        <f>Допущения!$C$70*AZ61</f>
        <v>75.499130974799996</v>
      </c>
      <c r="BA87" s="176">
        <f>Допущения!$C$70*BA61</f>
        <v>75.499130974799996</v>
      </c>
      <c r="BB87" s="176">
        <f>Допущения!$C$70*BB61</f>
        <v>75.499130974799996</v>
      </c>
      <c r="BC87" s="176">
        <f>Допущения!$C$70*BC61</f>
        <v>77.764104904044018</v>
      </c>
      <c r="BD87" s="176">
        <f>Допущения!$C$70*BD61</f>
        <v>77.764104904044018</v>
      </c>
      <c r="BE87" s="176">
        <f>Допущения!$C$70*BE61</f>
        <v>77.764104904044018</v>
      </c>
      <c r="BF87" s="176">
        <f>Допущения!$C$70*BF61</f>
        <v>77.764104904044018</v>
      </c>
      <c r="BG87" s="176">
        <f>Допущения!$C$70*BG61</f>
        <v>77.764104904044018</v>
      </c>
      <c r="BH87" s="176">
        <f>Допущения!$C$70*BH61</f>
        <v>77.764104904044018</v>
      </c>
      <c r="BI87" s="176">
        <f>Допущения!$C$70*BI61</f>
        <v>77.764104904044018</v>
      </c>
      <c r="BJ87" s="176">
        <f>Допущения!$C$70*BJ61</f>
        <v>77.764104904044018</v>
      </c>
      <c r="BK87" s="164"/>
      <c r="BL87" s="101">
        <f t="shared" si="115"/>
        <v>67.08</v>
      </c>
      <c r="BM87" s="101">
        <f t="shared" si="115"/>
        <v>829.10879999999997</v>
      </c>
      <c r="BN87" s="101">
        <f t="shared" si="115"/>
        <v>853.98206399999992</v>
      </c>
      <c r="BO87" s="101">
        <f t="shared" si="115"/>
        <v>879.60152591999997</v>
      </c>
      <c r="BP87" s="101">
        <f t="shared" si="115"/>
        <v>905.9895716975999</v>
      </c>
      <c r="BQ87" s="101">
        <f t="shared" si="115"/>
        <v>622.11283923235214</v>
      </c>
    </row>
    <row r="88" spans="1:69">
      <c r="A88" s="30" t="str">
        <f t="shared" si="112"/>
        <v>Инженер-механик</v>
      </c>
      <c r="B88" s="75" t="s">
        <v>251</v>
      </c>
      <c r="C88" s="176">
        <f>Допущения!$C$70*C62</f>
        <v>0</v>
      </c>
      <c r="D88" s="176">
        <f>Допущения!$C$70*D62</f>
        <v>0</v>
      </c>
      <c r="E88" s="176">
        <f>Допущения!$C$70*E62</f>
        <v>0</v>
      </c>
      <c r="F88" s="176">
        <f>Допущения!$C$70*F62</f>
        <v>104.49</v>
      </c>
      <c r="G88" s="176">
        <f>Допущения!$C$70*G62</f>
        <v>107.62469999999999</v>
      </c>
      <c r="H88" s="176">
        <f>Допущения!$C$70*H62</f>
        <v>107.62469999999999</v>
      </c>
      <c r="I88" s="176">
        <f>Допущения!$C$70*I62</f>
        <v>107.62469999999999</v>
      </c>
      <c r="J88" s="176">
        <f>Допущения!$C$70*J62</f>
        <v>107.62469999999999</v>
      </c>
      <c r="K88" s="176">
        <f>Допущения!$C$70*K62</f>
        <v>107.62469999999999</v>
      </c>
      <c r="L88" s="176">
        <f>Допущения!$C$70*L62</f>
        <v>107.62469999999999</v>
      </c>
      <c r="M88" s="176">
        <f>Допущения!$C$70*M62</f>
        <v>107.62469999999999</v>
      </c>
      <c r="N88" s="176">
        <f>Допущения!$C$70*N62</f>
        <v>107.62469999999999</v>
      </c>
      <c r="O88" s="176">
        <f>Допущения!$C$70*O62</f>
        <v>107.62469999999999</v>
      </c>
      <c r="P88" s="176">
        <f>Допущения!$C$70*P62</f>
        <v>107.62469999999999</v>
      </c>
      <c r="Q88" s="176">
        <f>Допущения!$C$70*Q62</f>
        <v>107.62469999999999</v>
      </c>
      <c r="R88" s="176">
        <f>Допущения!$C$70*R62</f>
        <v>107.62469999999999</v>
      </c>
      <c r="S88" s="176">
        <f>Допущения!$C$70*S62</f>
        <v>110.853441</v>
      </c>
      <c r="T88" s="176">
        <f>Допущения!$C$70*T62</f>
        <v>110.853441</v>
      </c>
      <c r="U88" s="176">
        <f>Допущения!$C$70*U62</f>
        <v>110.853441</v>
      </c>
      <c r="V88" s="176">
        <f>Допущения!$C$70*V62</f>
        <v>110.853441</v>
      </c>
      <c r="W88" s="176">
        <f>Допущения!$C$70*W62</f>
        <v>110.853441</v>
      </c>
      <c r="X88" s="176">
        <f>Допущения!$C$70*X62</f>
        <v>110.853441</v>
      </c>
      <c r="Y88" s="176">
        <f>Допущения!$C$70*Y62</f>
        <v>110.853441</v>
      </c>
      <c r="Z88" s="176">
        <f>Допущения!$C$70*Z62</f>
        <v>110.853441</v>
      </c>
      <c r="AA88" s="176">
        <f>Допущения!$C$70*AA62</f>
        <v>110.853441</v>
      </c>
      <c r="AB88" s="176">
        <f>Допущения!$C$70*AB62</f>
        <v>110.853441</v>
      </c>
      <c r="AC88" s="176">
        <f>Допущения!$C$70*AC62</f>
        <v>110.853441</v>
      </c>
      <c r="AD88" s="176">
        <f>Допущения!$C$70*AD62</f>
        <v>110.853441</v>
      </c>
      <c r="AE88" s="176">
        <f>Допущения!$C$70*AE62</f>
        <v>114.17904423</v>
      </c>
      <c r="AF88" s="176">
        <f>Допущения!$C$70*AF62</f>
        <v>114.17904423</v>
      </c>
      <c r="AG88" s="176">
        <f>Допущения!$C$70*AG62</f>
        <v>114.17904423</v>
      </c>
      <c r="AH88" s="176">
        <f>Допущения!$C$70*AH62</f>
        <v>114.17904423</v>
      </c>
      <c r="AI88" s="176">
        <f>Допущения!$C$70*AI62</f>
        <v>114.17904423</v>
      </c>
      <c r="AJ88" s="176">
        <f>Допущения!$C$70*AJ62</f>
        <v>114.17904423</v>
      </c>
      <c r="AK88" s="176">
        <f>Допущения!$C$70*AK62</f>
        <v>114.17904423</v>
      </c>
      <c r="AL88" s="176">
        <f>Допущения!$C$70*AL62</f>
        <v>114.17904423</v>
      </c>
      <c r="AM88" s="176">
        <f>Допущения!$C$70*AM62</f>
        <v>114.17904423</v>
      </c>
      <c r="AN88" s="176">
        <f>Допущения!$C$70*AN62</f>
        <v>114.17904423</v>
      </c>
      <c r="AO88" s="176">
        <f>Допущения!$C$70*AO62</f>
        <v>114.17904423</v>
      </c>
      <c r="AP88" s="176">
        <f>Допущения!$C$70*AP62</f>
        <v>114.17904423</v>
      </c>
      <c r="AQ88" s="176">
        <f>Допущения!$C$70*AQ62</f>
        <v>117.60441555690002</v>
      </c>
      <c r="AR88" s="176">
        <f>Допущения!$C$70*AR62</f>
        <v>117.60441555690002</v>
      </c>
      <c r="AS88" s="176">
        <f>Допущения!$C$70*AS62</f>
        <v>117.60441555690002</v>
      </c>
      <c r="AT88" s="176">
        <f>Допущения!$C$70*AT62</f>
        <v>117.60441555690002</v>
      </c>
      <c r="AU88" s="176">
        <f>Допущения!$C$70*AU62</f>
        <v>117.60441555690002</v>
      </c>
      <c r="AV88" s="176">
        <f>Допущения!$C$70*AV62</f>
        <v>117.60441555690002</v>
      </c>
      <c r="AW88" s="176">
        <f>Допущения!$C$70*AW62</f>
        <v>117.60441555690002</v>
      </c>
      <c r="AX88" s="176">
        <f>Допущения!$C$70*AX62</f>
        <v>117.60441555690002</v>
      </c>
      <c r="AY88" s="176">
        <f>Допущения!$C$70*AY62</f>
        <v>117.60441555690002</v>
      </c>
      <c r="AZ88" s="176">
        <f>Допущения!$C$70*AZ62</f>
        <v>117.60441555690002</v>
      </c>
      <c r="BA88" s="176">
        <f>Допущения!$C$70*BA62</f>
        <v>117.60441555690002</v>
      </c>
      <c r="BB88" s="176">
        <f>Допущения!$C$70*BB62</f>
        <v>117.60441555690002</v>
      </c>
      <c r="BC88" s="176">
        <f>Допущения!$C$70*BC62</f>
        <v>121.13254802360701</v>
      </c>
      <c r="BD88" s="176">
        <f>Допущения!$C$70*BD62</f>
        <v>121.13254802360701</v>
      </c>
      <c r="BE88" s="176">
        <f>Допущения!$C$70*BE62</f>
        <v>121.13254802360701</v>
      </c>
      <c r="BF88" s="176">
        <f>Допущения!$C$70*BF62</f>
        <v>121.13254802360701</v>
      </c>
      <c r="BG88" s="176">
        <f>Допущения!$C$70*BG62</f>
        <v>121.13254802360701</v>
      </c>
      <c r="BH88" s="176">
        <f>Допущения!$C$70*BH62</f>
        <v>121.13254802360701</v>
      </c>
      <c r="BI88" s="176">
        <f>Допущения!$C$70*BI62</f>
        <v>121.13254802360701</v>
      </c>
      <c r="BJ88" s="176">
        <f>Допущения!$C$70*BJ62</f>
        <v>121.13254802360701</v>
      </c>
      <c r="BL88" s="101">
        <f t="shared" si="115"/>
        <v>104.49</v>
      </c>
      <c r="BM88" s="101">
        <f t="shared" si="115"/>
        <v>1291.4964</v>
      </c>
      <c r="BN88" s="101">
        <f t="shared" si="115"/>
        <v>1330.2412919999999</v>
      </c>
      <c r="BO88" s="101">
        <f t="shared" si="115"/>
        <v>1370.1485307600003</v>
      </c>
      <c r="BP88" s="101">
        <f t="shared" si="115"/>
        <v>1411.2529866828002</v>
      </c>
      <c r="BQ88" s="101">
        <f t="shared" si="115"/>
        <v>969.06038418885612</v>
      </c>
    </row>
    <row r="89" spans="1:69">
      <c r="A89" s="30" t="str">
        <f t="shared" si="112"/>
        <v>Электрик/слесарь-ремонтник</v>
      </c>
      <c r="B89" s="75" t="s">
        <v>251</v>
      </c>
      <c r="C89" s="176">
        <f>Допущения!$C$70*C63</f>
        <v>0</v>
      </c>
      <c r="D89" s="176">
        <f>Допущения!$C$70*D63</f>
        <v>0</v>
      </c>
      <c r="E89" s="176">
        <f>Допущения!$C$70*E63</f>
        <v>0</v>
      </c>
      <c r="F89" s="176">
        <f>Допущения!$C$70*F63</f>
        <v>84.28</v>
      </c>
      <c r="G89" s="176">
        <f>Допущения!$C$70*G63</f>
        <v>86.808399999999992</v>
      </c>
      <c r="H89" s="176">
        <f>Допущения!$C$70*H63</f>
        <v>86.808399999999992</v>
      </c>
      <c r="I89" s="176">
        <f>Допущения!$C$70*I63</f>
        <v>86.808399999999992</v>
      </c>
      <c r="J89" s="176">
        <f>Допущения!$C$70*J63</f>
        <v>86.808399999999992</v>
      </c>
      <c r="K89" s="176">
        <f>Допущения!$C$70*K63</f>
        <v>86.808399999999992</v>
      </c>
      <c r="L89" s="176">
        <f>Допущения!$C$70*L63</f>
        <v>86.808399999999992</v>
      </c>
      <c r="M89" s="176">
        <f>Допущения!$C$70*M63</f>
        <v>86.808399999999992</v>
      </c>
      <c r="N89" s="176">
        <f>Допущения!$C$70*N63</f>
        <v>86.808399999999992</v>
      </c>
      <c r="O89" s="176">
        <f>Допущения!$C$70*O63</f>
        <v>86.808399999999992</v>
      </c>
      <c r="P89" s="176">
        <f>Допущения!$C$70*P63</f>
        <v>86.808399999999992</v>
      </c>
      <c r="Q89" s="176">
        <f>Допущения!$C$70*Q63</f>
        <v>86.808399999999992</v>
      </c>
      <c r="R89" s="176">
        <f>Допущения!$C$70*R63</f>
        <v>86.808399999999992</v>
      </c>
      <c r="S89" s="176">
        <f>Допущения!$C$70*S63</f>
        <v>89.412651999999994</v>
      </c>
      <c r="T89" s="176">
        <f>Допущения!$C$70*T63</f>
        <v>89.412651999999994</v>
      </c>
      <c r="U89" s="176">
        <f>Допущения!$C$70*U63</f>
        <v>89.412651999999994</v>
      </c>
      <c r="V89" s="176">
        <f>Допущения!$C$70*V63</f>
        <v>89.412651999999994</v>
      </c>
      <c r="W89" s="176">
        <f>Допущения!$C$70*W63</f>
        <v>89.412651999999994</v>
      </c>
      <c r="X89" s="176">
        <f>Допущения!$C$70*X63</f>
        <v>89.412651999999994</v>
      </c>
      <c r="Y89" s="176">
        <f>Допущения!$C$70*Y63</f>
        <v>89.412651999999994</v>
      </c>
      <c r="Z89" s="176">
        <f>Допущения!$C$70*Z63</f>
        <v>89.412651999999994</v>
      </c>
      <c r="AA89" s="176">
        <f>Допущения!$C$70*AA63</f>
        <v>89.412651999999994</v>
      </c>
      <c r="AB89" s="176">
        <f>Допущения!$C$70*AB63</f>
        <v>89.412651999999994</v>
      </c>
      <c r="AC89" s="176">
        <f>Допущения!$C$70*AC63</f>
        <v>89.412651999999994</v>
      </c>
      <c r="AD89" s="176">
        <f>Допущения!$C$70*AD63</f>
        <v>89.412651999999994</v>
      </c>
      <c r="AE89" s="176">
        <f>Допущения!$C$70*AE63</f>
        <v>92.095031559999995</v>
      </c>
      <c r="AF89" s="176">
        <f>Допущения!$C$70*AF63</f>
        <v>92.095031559999995</v>
      </c>
      <c r="AG89" s="176">
        <f>Допущения!$C$70*AG63</f>
        <v>92.095031559999995</v>
      </c>
      <c r="AH89" s="176">
        <f>Допущения!$C$70*AH63</f>
        <v>92.095031559999995</v>
      </c>
      <c r="AI89" s="176">
        <f>Допущения!$C$70*AI63</f>
        <v>92.095031559999995</v>
      </c>
      <c r="AJ89" s="176">
        <f>Допущения!$C$70*AJ63</f>
        <v>92.095031559999995</v>
      </c>
      <c r="AK89" s="176">
        <f>Допущения!$C$70*AK63</f>
        <v>92.095031559999995</v>
      </c>
      <c r="AL89" s="176">
        <f>Допущения!$C$70*AL63</f>
        <v>92.095031559999995</v>
      </c>
      <c r="AM89" s="176">
        <f>Допущения!$C$70*AM63</f>
        <v>92.095031559999995</v>
      </c>
      <c r="AN89" s="176">
        <f>Допущения!$C$70*AN63</f>
        <v>92.095031559999995</v>
      </c>
      <c r="AO89" s="176">
        <f>Допущения!$C$70*AO63</f>
        <v>92.095031559999995</v>
      </c>
      <c r="AP89" s="176">
        <f>Допущения!$C$70*AP63</f>
        <v>92.095031559999995</v>
      </c>
      <c r="AQ89" s="176">
        <f>Допущения!$C$70*AQ63</f>
        <v>94.857882506799996</v>
      </c>
      <c r="AR89" s="176">
        <f>Допущения!$C$70*AR63</f>
        <v>94.857882506799996</v>
      </c>
      <c r="AS89" s="176">
        <f>Допущения!$C$70*AS63</f>
        <v>94.857882506799996</v>
      </c>
      <c r="AT89" s="176">
        <f>Допущения!$C$70*AT63</f>
        <v>94.857882506799996</v>
      </c>
      <c r="AU89" s="176">
        <f>Допущения!$C$70*AU63</f>
        <v>94.857882506799996</v>
      </c>
      <c r="AV89" s="176">
        <f>Допущения!$C$70*AV63</f>
        <v>94.857882506799996</v>
      </c>
      <c r="AW89" s="176">
        <f>Допущения!$C$70*AW63</f>
        <v>94.857882506799996</v>
      </c>
      <c r="AX89" s="176">
        <f>Допущения!$C$70*AX63</f>
        <v>94.857882506799996</v>
      </c>
      <c r="AY89" s="176">
        <f>Допущения!$C$70*AY63</f>
        <v>94.857882506799996</v>
      </c>
      <c r="AZ89" s="176">
        <f>Допущения!$C$70*AZ63</f>
        <v>94.857882506799996</v>
      </c>
      <c r="BA89" s="176">
        <f>Допущения!$C$70*BA63</f>
        <v>94.857882506799996</v>
      </c>
      <c r="BB89" s="176">
        <f>Допущения!$C$70*BB63</f>
        <v>94.857882506799996</v>
      </c>
      <c r="BC89" s="176">
        <f>Допущения!$C$70*BC63</f>
        <v>97.703618982004002</v>
      </c>
      <c r="BD89" s="176">
        <f>Допущения!$C$70*BD63</f>
        <v>97.703618982004002</v>
      </c>
      <c r="BE89" s="176">
        <f>Допущения!$C$70*BE63</f>
        <v>97.703618982004002</v>
      </c>
      <c r="BF89" s="176">
        <f>Допущения!$C$70*BF63</f>
        <v>97.703618982004002</v>
      </c>
      <c r="BG89" s="176">
        <f>Допущения!$C$70*BG63</f>
        <v>97.703618982004002</v>
      </c>
      <c r="BH89" s="176">
        <f>Допущения!$C$70*BH63</f>
        <v>97.703618982004002</v>
      </c>
      <c r="BI89" s="176">
        <f>Допущения!$C$70*BI63</f>
        <v>97.703618982004002</v>
      </c>
      <c r="BJ89" s="176">
        <f>Допущения!$C$70*BJ63</f>
        <v>97.703618982004002</v>
      </c>
      <c r="BL89" s="101">
        <f t="shared" si="115"/>
        <v>84.28</v>
      </c>
      <c r="BM89" s="101">
        <f t="shared" si="115"/>
        <v>1041.7007999999998</v>
      </c>
      <c r="BN89" s="101">
        <f t="shared" si="115"/>
        <v>1072.951824</v>
      </c>
      <c r="BO89" s="101">
        <f t="shared" si="115"/>
        <v>1105.1403787200002</v>
      </c>
      <c r="BP89" s="101">
        <f t="shared" si="115"/>
        <v>1138.2945900816001</v>
      </c>
      <c r="BQ89" s="101">
        <f t="shared" si="115"/>
        <v>781.62895185603202</v>
      </c>
    </row>
    <row r="90" spans="1:69">
      <c r="A90" s="30" t="str">
        <f t="shared" si="112"/>
        <v>Обвальщик/мясник</v>
      </c>
      <c r="B90" s="75" t="s">
        <v>251</v>
      </c>
      <c r="C90" s="176">
        <f>Допущения!$C$70*C64</f>
        <v>0</v>
      </c>
      <c r="D90" s="176">
        <f>Допущения!$C$70*D64</f>
        <v>0</v>
      </c>
      <c r="E90" s="176">
        <f>Допущения!$C$70*E64</f>
        <v>0</v>
      </c>
      <c r="F90" s="176">
        <f>Допущения!$C$70*F64</f>
        <v>817</v>
      </c>
      <c r="G90" s="176">
        <f>Допущения!$C$70*G64</f>
        <v>841.51</v>
      </c>
      <c r="H90" s="176">
        <f>Допущения!$C$70*H64</f>
        <v>841.51</v>
      </c>
      <c r="I90" s="176">
        <f>Допущения!$C$70*I64</f>
        <v>841.51</v>
      </c>
      <c r="J90" s="176">
        <f>Допущения!$C$70*J64</f>
        <v>841.51</v>
      </c>
      <c r="K90" s="176">
        <f>Допущения!$C$70*K64</f>
        <v>841.51</v>
      </c>
      <c r="L90" s="176">
        <f>Допущения!$C$70*L64</f>
        <v>841.51</v>
      </c>
      <c r="M90" s="176">
        <f>Допущения!$C$70*M64</f>
        <v>841.51</v>
      </c>
      <c r="N90" s="176">
        <f>Допущения!$C$70*N64</f>
        <v>841.51</v>
      </c>
      <c r="O90" s="176">
        <f>Допущения!$C$70*O64</f>
        <v>841.51</v>
      </c>
      <c r="P90" s="176">
        <f>Допущения!$C$70*P64</f>
        <v>841.51</v>
      </c>
      <c r="Q90" s="176">
        <f>Допущения!$C$70*Q64</f>
        <v>841.51</v>
      </c>
      <c r="R90" s="176">
        <f>Допущения!$C$70*R64</f>
        <v>841.51</v>
      </c>
      <c r="S90" s="176">
        <f>Допущения!$C$70*S64</f>
        <v>866.75530000000003</v>
      </c>
      <c r="T90" s="176">
        <f>Допущения!$C$70*T64</f>
        <v>866.75530000000003</v>
      </c>
      <c r="U90" s="176">
        <f>Допущения!$C$70*U64</f>
        <v>866.75530000000003</v>
      </c>
      <c r="V90" s="176">
        <f>Допущения!$C$70*V64</f>
        <v>866.75530000000003</v>
      </c>
      <c r="W90" s="176">
        <f>Допущения!$C$70*W64</f>
        <v>866.75530000000003</v>
      </c>
      <c r="X90" s="176">
        <f>Допущения!$C$70*X64</f>
        <v>866.75530000000003</v>
      </c>
      <c r="Y90" s="176">
        <f>Допущения!$C$70*Y64</f>
        <v>866.75530000000003</v>
      </c>
      <c r="Z90" s="176">
        <f>Допущения!$C$70*Z64</f>
        <v>866.75530000000003</v>
      </c>
      <c r="AA90" s="176">
        <f>Допущения!$C$70*AA64</f>
        <v>866.75530000000003</v>
      </c>
      <c r="AB90" s="176">
        <f>Допущения!$C$70*AB64</f>
        <v>866.75530000000003</v>
      </c>
      <c r="AC90" s="176">
        <f>Допущения!$C$70*AC64</f>
        <v>866.75530000000003</v>
      </c>
      <c r="AD90" s="176">
        <f>Допущения!$C$70*AD64</f>
        <v>866.75530000000003</v>
      </c>
      <c r="AE90" s="176">
        <f>Допущения!$C$70*AE64</f>
        <v>892.75795900000003</v>
      </c>
      <c r="AF90" s="176">
        <f>Допущения!$C$70*AF64</f>
        <v>892.75795900000003</v>
      </c>
      <c r="AG90" s="176">
        <f>Допущения!$C$70*AG64</f>
        <v>892.75795900000003</v>
      </c>
      <c r="AH90" s="176">
        <f>Допущения!$C$70*AH64</f>
        <v>892.75795900000003</v>
      </c>
      <c r="AI90" s="176">
        <f>Допущения!$C$70*AI64</f>
        <v>892.75795900000003</v>
      </c>
      <c r="AJ90" s="176">
        <f>Допущения!$C$70*AJ64</f>
        <v>892.75795900000003</v>
      </c>
      <c r="AK90" s="176">
        <f>Допущения!$C$70*AK64</f>
        <v>892.75795900000003</v>
      </c>
      <c r="AL90" s="176">
        <f>Допущения!$C$70*AL64</f>
        <v>892.75795900000003</v>
      </c>
      <c r="AM90" s="176">
        <f>Допущения!$C$70*AM64</f>
        <v>892.75795900000003</v>
      </c>
      <c r="AN90" s="176">
        <f>Допущения!$C$70*AN64</f>
        <v>892.75795900000003</v>
      </c>
      <c r="AO90" s="176">
        <f>Допущения!$C$70*AO64</f>
        <v>892.75795900000003</v>
      </c>
      <c r="AP90" s="176">
        <f>Допущения!$C$70*AP64</f>
        <v>892.75795900000003</v>
      </c>
      <c r="AQ90" s="176">
        <f>Допущения!$C$70*AQ64</f>
        <v>919.54069776999995</v>
      </c>
      <c r="AR90" s="176">
        <f>Допущения!$C$70*AR64</f>
        <v>919.54069776999995</v>
      </c>
      <c r="AS90" s="176">
        <f>Допущения!$C$70*AS64</f>
        <v>919.54069776999995</v>
      </c>
      <c r="AT90" s="176">
        <f>Допущения!$C$70*AT64</f>
        <v>919.54069776999995</v>
      </c>
      <c r="AU90" s="176">
        <f>Допущения!$C$70*AU64</f>
        <v>919.54069776999995</v>
      </c>
      <c r="AV90" s="176">
        <f>Допущения!$C$70*AV64</f>
        <v>919.54069776999995</v>
      </c>
      <c r="AW90" s="176">
        <f>Допущения!$C$70*AW64</f>
        <v>919.54069776999995</v>
      </c>
      <c r="AX90" s="176">
        <f>Допущения!$C$70*AX64</f>
        <v>919.54069776999995</v>
      </c>
      <c r="AY90" s="176">
        <f>Допущения!$C$70*AY64</f>
        <v>919.54069776999995</v>
      </c>
      <c r="AZ90" s="176">
        <f>Допущения!$C$70*AZ64</f>
        <v>919.54069776999995</v>
      </c>
      <c r="BA90" s="176">
        <f>Допущения!$C$70*BA64</f>
        <v>919.54069776999995</v>
      </c>
      <c r="BB90" s="176">
        <f>Допущения!$C$70*BB64</f>
        <v>919.54069776999995</v>
      </c>
      <c r="BC90" s="176">
        <f>Допущения!$C$70*BC64</f>
        <v>947.12691870310005</v>
      </c>
      <c r="BD90" s="176">
        <f>Допущения!$C$70*BD64</f>
        <v>947.12691870310005</v>
      </c>
      <c r="BE90" s="176">
        <f>Допущения!$C$70*BE64</f>
        <v>947.12691870310005</v>
      </c>
      <c r="BF90" s="176">
        <f>Допущения!$C$70*BF64</f>
        <v>947.12691870310005</v>
      </c>
      <c r="BG90" s="176">
        <f>Допущения!$C$70*BG64</f>
        <v>947.12691870310005</v>
      </c>
      <c r="BH90" s="176">
        <f>Допущения!$C$70*BH64</f>
        <v>947.12691870310005</v>
      </c>
      <c r="BI90" s="176">
        <f>Допущения!$C$70*BI64</f>
        <v>947.12691870310005</v>
      </c>
      <c r="BJ90" s="176">
        <f>Допущения!$C$70*BJ64</f>
        <v>947.12691870310005</v>
      </c>
      <c r="BL90" s="101">
        <f t="shared" si="115"/>
        <v>817</v>
      </c>
      <c r="BM90" s="101">
        <f t="shared" si="115"/>
        <v>10098.120000000001</v>
      </c>
      <c r="BN90" s="101">
        <f t="shared" si="115"/>
        <v>10401.063600000001</v>
      </c>
      <c r="BO90" s="101">
        <f t="shared" si="115"/>
        <v>10713.095508000004</v>
      </c>
      <c r="BP90" s="101">
        <f t="shared" si="115"/>
        <v>11034.488373240003</v>
      </c>
      <c r="BQ90" s="101">
        <f t="shared" si="115"/>
        <v>7577.0153496248013</v>
      </c>
    </row>
    <row r="91" spans="1:69">
      <c r="A91" s="30" t="str">
        <f t="shared" si="112"/>
        <v>Рабочий убойного цеха</v>
      </c>
      <c r="B91" s="75" t="s">
        <v>251</v>
      </c>
      <c r="C91" s="176">
        <f>Допущения!$C$70*C65</f>
        <v>0</v>
      </c>
      <c r="D91" s="176">
        <f>Допущения!$C$70*D65</f>
        <v>0</v>
      </c>
      <c r="E91" s="176">
        <f>Допущения!$C$70*E65</f>
        <v>0</v>
      </c>
      <c r="F91" s="176">
        <f>Допущения!$C$70*F65</f>
        <v>412.8</v>
      </c>
      <c r="G91" s="176">
        <f>Допущения!$C$70*G65</f>
        <v>425.18399999999997</v>
      </c>
      <c r="H91" s="176">
        <f>Допущения!$C$70*H65</f>
        <v>425.18399999999997</v>
      </c>
      <c r="I91" s="176">
        <f>Допущения!$C$70*I65</f>
        <v>425.18399999999997</v>
      </c>
      <c r="J91" s="176">
        <f>Допущения!$C$70*J65</f>
        <v>425.18399999999997</v>
      </c>
      <c r="K91" s="176">
        <f>Допущения!$C$70*K65</f>
        <v>425.18399999999997</v>
      </c>
      <c r="L91" s="176">
        <f>Допущения!$C$70*L65</f>
        <v>425.18399999999997</v>
      </c>
      <c r="M91" s="176">
        <f>Допущения!$C$70*M65</f>
        <v>425.18399999999997</v>
      </c>
      <c r="N91" s="176">
        <f>Допущения!$C$70*N65</f>
        <v>425.18399999999997</v>
      </c>
      <c r="O91" s="176">
        <f>Допущения!$C$70*O65</f>
        <v>425.18399999999997</v>
      </c>
      <c r="P91" s="176">
        <f>Допущения!$C$70*P65</f>
        <v>425.18399999999997</v>
      </c>
      <c r="Q91" s="176">
        <f>Допущения!$C$70*Q65</f>
        <v>425.18399999999997</v>
      </c>
      <c r="R91" s="176">
        <f>Допущения!$C$70*R65</f>
        <v>425.18399999999997</v>
      </c>
      <c r="S91" s="176">
        <f>Допущения!$C$70*S65</f>
        <v>437.93952000000002</v>
      </c>
      <c r="T91" s="176">
        <f>Допущения!$C$70*T65</f>
        <v>437.93952000000002</v>
      </c>
      <c r="U91" s="176">
        <f>Допущения!$C$70*U65</f>
        <v>437.93952000000002</v>
      </c>
      <c r="V91" s="176">
        <f>Допущения!$C$70*V65</f>
        <v>437.93952000000002</v>
      </c>
      <c r="W91" s="176">
        <f>Допущения!$C$70*W65</f>
        <v>437.93952000000002</v>
      </c>
      <c r="X91" s="176">
        <f>Допущения!$C$70*X65</f>
        <v>437.93952000000002</v>
      </c>
      <c r="Y91" s="176">
        <f>Допущения!$C$70*Y65</f>
        <v>437.93952000000002</v>
      </c>
      <c r="Z91" s="176">
        <f>Допущения!$C$70*Z65</f>
        <v>437.93952000000002</v>
      </c>
      <c r="AA91" s="176">
        <f>Допущения!$C$70*AA65</f>
        <v>437.93952000000002</v>
      </c>
      <c r="AB91" s="176">
        <f>Допущения!$C$70*AB65</f>
        <v>437.93952000000002</v>
      </c>
      <c r="AC91" s="176">
        <f>Допущения!$C$70*AC65</f>
        <v>437.93952000000002</v>
      </c>
      <c r="AD91" s="176">
        <f>Допущения!$C$70*AD65</f>
        <v>437.93952000000002</v>
      </c>
      <c r="AE91" s="176">
        <f>Допущения!$C$70*AE65</f>
        <v>451.0777056</v>
      </c>
      <c r="AF91" s="176">
        <f>Допущения!$C$70*AF65</f>
        <v>451.0777056</v>
      </c>
      <c r="AG91" s="176">
        <f>Допущения!$C$70*AG65</f>
        <v>451.0777056</v>
      </c>
      <c r="AH91" s="176">
        <f>Допущения!$C$70*AH65</f>
        <v>451.0777056</v>
      </c>
      <c r="AI91" s="176">
        <f>Допущения!$C$70*AI65</f>
        <v>451.0777056</v>
      </c>
      <c r="AJ91" s="176">
        <f>Допущения!$C$70*AJ65</f>
        <v>451.0777056</v>
      </c>
      <c r="AK91" s="176">
        <f>Допущения!$C$70*AK65</f>
        <v>451.0777056</v>
      </c>
      <c r="AL91" s="176">
        <f>Допущения!$C$70*AL65</f>
        <v>451.0777056</v>
      </c>
      <c r="AM91" s="176">
        <f>Допущения!$C$70*AM65</f>
        <v>451.0777056</v>
      </c>
      <c r="AN91" s="176">
        <f>Допущения!$C$70*AN65</f>
        <v>451.0777056</v>
      </c>
      <c r="AO91" s="176">
        <f>Допущения!$C$70*AO65</f>
        <v>451.0777056</v>
      </c>
      <c r="AP91" s="176">
        <f>Допущения!$C$70*AP65</f>
        <v>451.0777056</v>
      </c>
      <c r="AQ91" s="176">
        <f>Допущения!$C$70*AQ65</f>
        <v>464.61003676800004</v>
      </c>
      <c r="AR91" s="176">
        <f>Допущения!$C$70*AR65</f>
        <v>464.61003676800004</v>
      </c>
      <c r="AS91" s="176">
        <f>Допущения!$C$70*AS65</f>
        <v>464.61003676800004</v>
      </c>
      <c r="AT91" s="176">
        <f>Допущения!$C$70*AT65</f>
        <v>464.61003676800004</v>
      </c>
      <c r="AU91" s="176">
        <f>Допущения!$C$70*AU65</f>
        <v>464.61003676800004</v>
      </c>
      <c r="AV91" s="176">
        <f>Допущения!$C$70*AV65</f>
        <v>464.61003676800004</v>
      </c>
      <c r="AW91" s="176">
        <f>Допущения!$C$70*AW65</f>
        <v>464.61003676800004</v>
      </c>
      <c r="AX91" s="176">
        <f>Допущения!$C$70*AX65</f>
        <v>464.61003676800004</v>
      </c>
      <c r="AY91" s="176">
        <f>Допущения!$C$70*AY65</f>
        <v>464.61003676800004</v>
      </c>
      <c r="AZ91" s="176">
        <f>Допущения!$C$70*AZ65</f>
        <v>464.61003676800004</v>
      </c>
      <c r="BA91" s="176">
        <f>Допущения!$C$70*BA65</f>
        <v>464.61003676800004</v>
      </c>
      <c r="BB91" s="176">
        <f>Допущения!$C$70*BB65</f>
        <v>464.61003676800004</v>
      </c>
      <c r="BC91" s="176">
        <f>Допущения!$C$70*BC65</f>
        <v>478.54833787104002</v>
      </c>
      <c r="BD91" s="176">
        <f>Допущения!$C$70*BD65</f>
        <v>478.54833787104002</v>
      </c>
      <c r="BE91" s="176">
        <f>Допущения!$C$70*BE65</f>
        <v>478.54833787104002</v>
      </c>
      <c r="BF91" s="176">
        <f>Допущения!$C$70*BF65</f>
        <v>478.54833787104002</v>
      </c>
      <c r="BG91" s="176">
        <f>Допущения!$C$70*BG65</f>
        <v>478.54833787104002</v>
      </c>
      <c r="BH91" s="176">
        <f>Допущения!$C$70*BH65</f>
        <v>478.54833787104002</v>
      </c>
      <c r="BI91" s="176">
        <f>Допущения!$C$70*BI65</f>
        <v>478.54833787104002</v>
      </c>
      <c r="BJ91" s="176">
        <f>Допущения!$C$70*BJ65</f>
        <v>478.54833787104002</v>
      </c>
      <c r="BL91" s="101">
        <f t="shared" si="115"/>
        <v>412.8</v>
      </c>
      <c r="BM91" s="101">
        <f t="shared" si="115"/>
        <v>5102.2080000000014</v>
      </c>
      <c r="BN91" s="101">
        <f t="shared" si="115"/>
        <v>5255.2742399999997</v>
      </c>
      <c r="BO91" s="101">
        <f t="shared" si="115"/>
        <v>5412.9324672000002</v>
      </c>
      <c r="BP91" s="101">
        <f t="shared" si="115"/>
        <v>5575.3204412160003</v>
      </c>
      <c r="BQ91" s="101">
        <f t="shared" si="115"/>
        <v>3828.3867029683202</v>
      </c>
    </row>
    <row r="92" spans="1:69">
      <c r="A92" s="30" t="str">
        <f t="shared" si="112"/>
        <v>Оператор упаковки/шоковой заморозки</v>
      </c>
      <c r="B92" s="75" t="s">
        <v>251</v>
      </c>
      <c r="C92" s="176">
        <f>Допущения!$C$70*C66</f>
        <v>0</v>
      </c>
      <c r="D92" s="176">
        <f>Допущения!$C$70*D66</f>
        <v>0</v>
      </c>
      <c r="E92" s="176">
        <f>Допущения!$C$70*E66</f>
        <v>0</v>
      </c>
      <c r="F92" s="176">
        <f>Допущения!$C$70*F66</f>
        <v>215</v>
      </c>
      <c r="G92" s="176">
        <f>Допущения!$C$70*G66</f>
        <v>221.45</v>
      </c>
      <c r="H92" s="176">
        <f>Допущения!$C$70*H66</f>
        <v>221.45</v>
      </c>
      <c r="I92" s="176">
        <f>Допущения!$C$70*I66</f>
        <v>221.45</v>
      </c>
      <c r="J92" s="176">
        <f>Допущения!$C$70*J66</f>
        <v>221.45</v>
      </c>
      <c r="K92" s="176">
        <f>Допущения!$C$70*K66</f>
        <v>221.45</v>
      </c>
      <c r="L92" s="176">
        <f>Допущения!$C$70*L66</f>
        <v>221.45</v>
      </c>
      <c r="M92" s="176">
        <f>Допущения!$C$70*M66</f>
        <v>221.45</v>
      </c>
      <c r="N92" s="176">
        <f>Допущения!$C$70*N66</f>
        <v>221.45</v>
      </c>
      <c r="O92" s="176">
        <f>Допущения!$C$70*O66</f>
        <v>221.45</v>
      </c>
      <c r="P92" s="176">
        <f>Допущения!$C$70*P66</f>
        <v>221.45</v>
      </c>
      <c r="Q92" s="176">
        <f>Допущения!$C$70*Q66</f>
        <v>221.45</v>
      </c>
      <c r="R92" s="176">
        <f>Допущения!$C$70*R66</f>
        <v>221.45</v>
      </c>
      <c r="S92" s="176">
        <f>Допущения!$C$70*S66</f>
        <v>228.09350000000001</v>
      </c>
      <c r="T92" s="176">
        <f>Допущения!$C$70*T66</f>
        <v>228.09350000000001</v>
      </c>
      <c r="U92" s="176">
        <f>Допущения!$C$70*U66</f>
        <v>228.09350000000001</v>
      </c>
      <c r="V92" s="176">
        <f>Допущения!$C$70*V66</f>
        <v>228.09350000000001</v>
      </c>
      <c r="W92" s="176">
        <f>Допущения!$C$70*W66</f>
        <v>228.09350000000001</v>
      </c>
      <c r="X92" s="176">
        <f>Допущения!$C$70*X66</f>
        <v>228.09350000000001</v>
      </c>
      <c r="Y92" s="176">
        <f>Допущения!$C$70*Y66</f>
        <v>228.09350000000001</v>
      </c>
      <c r="Z92" s="176">
        <f>Допущения!$C$70*Z66</f>
        <v>228.09350000000001</v>
      </c>
      <c r="AA92" s="176">
        <f>Допущения!$C$70*AA66</f>
        <v>228.09350000000001</v>
      </c>
      <c r="AB92" s="176">
        <f>Допущения!$C$70*AB66</f>
        <v>228.09350000000001</v>
      </c>
      <c r="AC92" s="176">
        <f>Допущения!$C$70*AC66</f>
        <v>228.09350000000001</v>
      </c>
      <c r="AD92" s="176">
        <f>Допущения!$C$70*AD66</f>
        <v>228.09350000000001</v>
      </c>
      <c r="AE92" s="176">
        <f>Допущения!$C$70*AE66</f>
        <v>234.936305</v>
      </c>
      <c r="AF92" s="176">
        <f>Допущения!$C$70*AF66</f>
        <v>234.936305</v>
      </c>
      <c r="AG92" s="176">
        <f>Допущения!$C$70*AG66</f>
        <v>234.936305</v>
      </c>
      <c r="AH92" s="176">
        <f>Допущения!$C$70*AH66</f>
        <v>234.936305</v>
      </c>
      <c r="AI92" s="176">
        <f>Допущения!$C$70*AI66</f>
        <v>234.936305</v>
      </c>
      <c r="AJ92" s="176">
        <f>Допущения!$C$70*AJ66</f>
        <v>234.936305</v>
      </c>
      <c r="AK92" s="176">
        <f>Допущения!$C$70*AK66</f>
        <v>234.936305</v>
      </c>
      <c r="AL92" s="176">
        <f>Допущения!$C$70*AL66</f>
        <v>234.936305</v>
      </c>
      <c r="AM92" s="176">
        <f>Допущения!$C$70*AM66</f>
        <v>234.936305</v>
      </c>
      <c r="AN92" s="176">
        <f>Допущения!$C$70*AN66</f>
        <v>234.936305</v>
      </c>
      <c r="AO92" s="176">
        <f>Допущения!$C$70*AO66</f>
        <v>234.936305</v>
      </c>
      <c r="AP92" s="176">
        <f>Допущения!$C$70*AP66</f>
        <v>234.936305</v>
      </c>
      <c r="AQ92" s="176">
        <f>Допущения!$C$70*AQ66</f>
        <v>241.98439415000001</v>
      </c>
      <c r="AR92" s="176">
        <f>Допущения!$C$70*AR66</f>
        <v>241.98439415000001</v>
      </c>
      <c r="AS92" s="176">
        <f>Допущения!$C$70*AS66</f>
        <v>241.98439415000001</v>
      </c>
      <c r="AT92" s="176">
        <f>Допущения!$C$70*AT66</f>
        <v>241.98439415000001</v>
      </c>
      <c r="AU92" s="176">
        <f>Допущения!$C$70*AU66</f>
        <v>241.98439415000001</v>
      </c>
      <c r="AV92" s="176">
        <f>Допущения!$C$70*AV66</f>
        <v>241.98439415000001</v>
      </c>
      <c r="AW92" s="176">
        <f>Допущения!$C$70*AW66</f>
        <v>241.98439415000001</v>
      </c>
      <c r="AX92" s="176">
        <f>Допущения!$C$70*AX66</f>
        <v>241.98439415000001</v>
      </c>
      <c r="AY92" s="176">
        <f>Допущения!$C$70*AY66</f>
        <v>241.98439415000001</v>
      </c>
      <c r="AZ92" s="176">
        <f>Допущения!$C$70*AZ66</f>
        <v>241.98439415000001</v>
      </c>
      <c r="BA92" s="176">
        <f>Допущения!$C$70*BA66</f>
        <v>241.98439415000001</v>
      </c>
      <c r="BB92" s="176">
        <f>Допущения!$C$70*BB66</f>
        <v>241.98439415000001</v>
      </c>
      <c r="BC92" s="176">
        <f>Допущения!$C$70*BC66</f>
        <v>249.24392597449997</v>
      </c>
      <c r="BD92" s="176">
        <f>Допущения!$C$70*BD66</f>
        <v>249.24392597449997</v>
      </c>
      <c r="BE92" s="176">
        <f>Допущения!$C$70*BE66</f>
        <v>249.24392597449997</v>
      </c>
      <c r="BF92" s="176">
        <f>Допущения!$C$70*BF66</f>
        <v>249.24392597449997</v>
      </c>
      <c r="BG92" s="176">
        <f>Допущения!$C$70*BG66</f>
        <v>249.24392597449997</v>
      </c>
      <c r="BH92" s="176">
        <f>Допущения!$C$70*BH66</f>
        <v>249.24392597449997</v>
      </c>
      <c r="BI92" s="176">
        <f>Допущения!$C$70*BI66</f>
        <v>249.24392597449997</v>
      </c>
      <c r="BJ92" s="176">
        <f>Допущения!$C$70*BJ66</f>
        <v>249.24392597449997</v>
      </c>
      <c r="BL92" s="101">
        <f t="shared" si="115"/>
        <v>215</v>
      </c>
      <c r="BM92" s="101">
        <f t="shared" si="115"/>
        <v>2657.3999999999996</v>
      </c>
      <c r="BN92" s="101">
        <f t="shared" si="115"/>
        <v>2737.1219999999998</v>
      </c>
      <c r="BO92" s="101">
        <f t="shared" si="115"/>
        <v>2819.2356600000003</v>
      </c>
      <c r="BP92" s="101">
        <f t="shared" si="115"/>
        <v>2903.8127297999999</v>
      </c>
      <c r="BQ92" s="101">
        <f t="shared" si="115"/>
        <v>1993.9514077959996</v>
      </c>
    </row>
    <row r="93" spans="1:69">
      <c r="A93" s="30" t="str">
        <f t="shared" si="112"/>
        <v>Оператор маринования/фасовки</v>
      </c>
      <c r="B93" s="75" t="s">
        <v>251</v>
      </c>
      <c r="C93" s="176">
        <f>Допущения!$C$70*C67</f>
        <v>0</v>
      </c>
      <c r="D93" s="176">
        <f>Допущения!$C$70*D67</f>
        <v>0</v>
      </c>
      <c r="E93" s="176">
        <f>Допущения!$C$70*E67</f>
        <v>0</v>
      </c>
      <c r="F93" s="176">
        <f>Допущения!$C$70*F67</f>
        <v>172</v>
      </c>
      <c r="G93" s="176">
        <f>Допущения!$C$70*G67</f>
        <v>177.16</v>
      </c>
      <c r="H93" s="176">
        <f>Допущения!$C$70*H67</f>
        <v>177.16</v>
      </c>
      <c r="I93" s="176">
        <f>Допущения!$C$70*I67</f>
        <v>177.16</v>
      </c>
      <c r="J93" s="176">
        <f>Допущения!$C$70*J67</f>
        <v>177.16</v>
      </c>
      <c r="K93" s="176">
        <f>Допущения!$C$70*K67</f>
        <v>177.16</v>
      </c>
      <c r="L93" s="176">
        <f>Допущения!$C$70*L67</f>
        <v>177.16</v>
      </c>
      <c r="M93" s="176">
        <f>Допущения!$C$70*M67</f>
        <v>177.16</v>
      </c>
      <c r="N93" s="176">
        <f>Допущения!$C$70*N67</f>
        <v>177.16</v>
      </c>
      <c r="O93" s="176">
        <f>Допущения!$C$70*O67</f>
        <v>177.16</v>
      </c>
      <c r="P93" s="176">
        <f>Допущения!$C$70*P67</f>
        <v>177.16</v>
      </c>
      <c r="Q93" s="176">
        <f>Допущения!$C$70*Q67</f>
        <v>177.16</v>
      </c>
      <c r="R93" s="176">
        <f>Допущения!$C$70*R67</f>
        <v>177.16</v>
      </c>
      <c r="S93" s="176">
        <f>Допущения!$C$70*S67</f>
        <v>182.47480000000002</v>
      </c>
      <c r="T93" s="176">
        <f>Допущения!$C$70*T67</f>
        <v>182.47480000000002</v>
      </c>
      <c r="U93" s="176">
        <f>Допущения!$C$70*U67</f>
        <v>182.47480000000002</v>
      </c>
      <c r="V93" s="176">
        <f>Допущения!$C$70*V67</f>
        <v>182.47480000000002</v>
      </c>
      <c r="W93" s="176">
        <f>Допущения!$C$70*W67</f>
        <v>182.47480000000002</v>
      </c>
      <c r="X93" s="176">
        <f>Допущения!$C$70*X67</f>
        <v>182.47480000000002</v>
      </c>
      <c r="Y93" s="176">
        <f>Допущения!$C$70*Y67</f>
        <v>182.47480000000002</v>
      </c>
      <c r="Z93" s="176">
        <f>Допущения!$C$70*Z67</f>
        <v>182.47480000000002</v>
      </c>
      <c r="AA93" s="176">
        <f>Допущения!$C$70*AA67</f>
        <v>182.47480000000002</v>
      </c>
      <c r="AB93" s="176">
        <f>Допущения!$C$70*AB67</f>
        <v>182.47480000000002</v>
      </c>
      <c r="AC93" s="176">
        <f>Допущения!$C$70*AC67</f>
        <v>182.47480000000002</v>
      </c>
      <c r="AD93" s="176">
        <f>Допущения!$C$70*AD67</f>
        <v>182.47480000000002</v>
      </c>
      <c r="AE93" s="176">
        <f>Допущения!$C$70*AE67</f>
        <v>187.94904399999999</v>
      </c>
      <c r="AF93" s="176">
        <f>Допущения!$C$70*AF67</f>
        <v>187.94904399999999</v>
      </c>
      <c r="AG93" s="176">
        <f>Допущения!$C$70*AG67</f>
        <v>187.94904399999999</v>
      </c>
      <c r="AH93" s="176">
        <f>Допущения!$C$70*AH67</f>
        <v>187.94904399999999</v>
      </c>
      <c r="AI93" s="176">
        <f>Допущения!$C$70*AI67</f>
        <v>187.94904399999999</v>
      </c>
      <c r="AJ93" s="176">
        <f>Допущения!$C$70*AJ67</f>
        <v>187.94904399999999</v>
      </c>
      <c r="AK93" s="176">
        <f>Допущения!$C$70*AK67</f>
        <v>187.94904399999999</v>
      </c>
      <c r="AL93" s="176">
        <f>Допущения!$C$70*AL67</f>
        <v>187.94904399999999</v>
      </c>
      <c r="AM93" s="176">
        <f>Допущения!$C$70*AM67</f>
        <v>187.94904399999999</v>
      </c>
      <c r="AN93" s="176">
        <f>Допущения!$C$70*AN67</f>
        <v>187.94904399999999</v>
      </c>
      <c r="AO93" s="176">
        <f>Допущения!$C$70*AO67</f>
        <v>187.94904399999999</v>
      </c>
      <c r="AP93" s="176">
        <f>Допущения!$C$70*AP67</f>
        <v>187.94904399999999</v>
      </c>
      <c r="AQ93" s="176">
        <f>Допущения!$C$70*AQ67</f>
        <v>193.58751531999999</v>
      </c>
      <c r="AR93" s="176">
        <f>Допущения!$C$70*AR67</f>
        <v>193.58751531999999</v>
      </c>
      <c r="AS93" s="176">
        <f>Допущения!$C$70*AS67</f>
        <v>193.58751531999999</v>
      </c>
      <c r="AT93" s="176">
        <f>Допущения!$C$70*AT67</f>
        <v>193.58751531999999</v>
      </c>
      <c r="AU93" s="176">
        <f>Допущения!$C$70*AU67</f>
        <v>193.58751531999999</v>
      </c>
      <c r="AV93" s="176">
        <f>Допущения!$C$70*AV67</f>
        <v>193.58751531999999</v>
      </c>
      <c r="AW93" s="176">
        <f>Допущения!$C$70*AW67</f>
        <v>193.58751531999999</v>
      </c>
      <c r="AX93" s="176">
        <f>Допущения!$C$70*AX67</f>
        <v>193.58751531999999</v>
      </c>
      <c r="AY93" s="176">
        <f>Допущения!$C$70*AY67</f>
        <v>193.58751531999999</v>
      </c>
      <c r="AZ93" s="176">
        <f>Допущения!$C$70*AZ67</f>
        <v>193.58751531999999</v>
      </c>
      <c r="BA93" s="176">
        <f>Допущения!$C$70*BA67</f>
        <v>193.58751531999999</v>
      </c>
      <c r="BB93" s="176">
        <f>Допущения!$C$70*BB67</f>
        <v>193.58751531999999</v>
      </c>
      <c r="BC93" s="176">
        <f>Допущения!$C$70*BC67</f>
        <v>199.39514077960001</v>
      </c>
      <c r="BD93" s="176">
        <f>Допущения!$C$70*BD67</f>
        <v>199.39514077960001</v>
      </c>
      <c r="BE93" s="176">
        <f>Допущения!$C$70*BE67</f>
        <v>199.39514077960001</v>
      </c>
      <c r="BF93" s="176">
        <f>Допущения!$C$70*BF67</f>
        <v>199.39514077960001</v>
      </c>
      <c r="BG93" s="176">
        <f>Допущения!$C$70*BG67</f>
        <v>199.39514077960001</v>
      </c>
      <c r="BH93" s="176">
        <f>Допущения!$C$70*BH67</f>
        <v>199.39514077960001</v>
      </c>
      <c r="BI93" s="176">
        <f>Допущения!$C$70*BI67</f>
        <v>199.39514077960001</v>
      </c>
      <c r="BJ93" s="176">
        <f>Допущения!$C$70*BJ67</f>
        <v>199.39514077960001</v>
      </c>
      <c r="BL93" s="101">
        <f t="shared" si="115"/>
        <v>172</v>
      </c>
      <c r="BM93" s="101">
        <f t="shared" si="115"/>
        <v>2125.9200000000005</v>
      </c>
      <c r="BN93" s="101">
        <f t="shared" si="115"/>
        <v>2189.6976</v>
      </c>
      <c r="BO93" s="101">
        <f t="shared" si="115"/>
        <v>2255.388528</v>
      </c>
      <c r="BP93" s="101">
        <f t="shared" si="115"/>
        <v>2323.05018384</v>
      </c>
      <c r="BQ93" s="101">
        <f t="shared" si="115"/>
        <v>1595.1611262368003</v>
      </c>
    </row>
    <row r="94" spans="1:69">
      <c r="A94" s="30" t="str">
        <f t="shared" si="112"/>
        <v>Водитель погрузчика/кладовщик</v>
      </c>
      <c r="B94" s="75" t="s">
        <v>251</v>
      </c>
      <c r="C94" s="176">
        <f>Допущения!$C$70*C68</f>
        <v>0</v>
      </c>
      <c r="D94" s="176">
        <f>Допущения!$C$70*D68</f>
        <v>0</v>
      </c>
      <c r="E94" s="176">
        <f>Допущения!$C$70*E68</f>
        <v>0</v>
      </c>
      <c r="F94" s="176">
        <f>Допущения!$C$70*F68</f>
        <v>137.6</v>
      </c>
      <c r="G94" s="176">
        <f>Допущения!$C$70*G68</f>
        <v>141.72800000000001</v>
      </c>
      <c r="H94" s="176">
        <f>Допущения!$C$70*H68</f>
        <v>141.72800000000001</v>
      </c>
      <c r="I94" s="176">
        <f>Допущения!$C$70*I68</f>
        <v>141.72800000000001</v>
      </c>
      <c r="J94" s="176">
        <f>Допущения!$C$70*J68</f>
        <v>141.72800000000001</v>
      </c>
      <c r="K94" s="176">
        <f>Допущения!$C$70*K68</f>
        <v>141.72800000000001</v>
      </c>
      <c r="L94" s="176">
        <f>Допущения!$C$70*L68</f>
        <v>141.72800000000001</v>
      </c>
      <c r="M94" s="176">
        <f>Допущения!$C$70*M68</f>
        <v>141.72800000000001</v>
      </c>
      <c r="N94" s="176">
        <f>Допущения!$C$70*N68</f>
        <v>141.72800000000001</v>
      </c>
      <c r="O94" s="176">
        <f>Допущения!$C$70*O68</f>
        <v>141.72800000000001</v>
      </c>
      <c r="P94" s="176">
        <f>Допущения!$C$70*P68</f>
        <v>141.72800000000001</v>
      </c>
      <c r="Q94" s="176">
        <f>Допущения!$C$70*Q68</f>
        <v>141.72800000000001</v>
      </c>
      <c r="R94" s="176">
        <f>Допущения!$C$70*R68</f>
        <v>141.72800000000001</v>
      </c>
      <c r="S94" s="176">
        <f>Допущения!$C$70*S68</f>
        <v>145.97984</v>
      </c>
      <c r="T94" s="176">
        <f>Допущения!$C$70*T68</f>
        <v>145.97984</v>
      </c>
      <c r="U94" s="176">
        <f>Допущения!$C$70*U68</f>
        <v>145.97984</v>
      </c>
      <c r="V94" s="176">
        <f>Допущения!$C$70*V68</f>
        <v>145.97984</v>
      </c>
      <c r="W94" s="176">
        <f>Допущения!$C$70*W68</f>
        <v>145.97984</v>
      </c>
      <c r="X94" s="176">
        <f>Допущения!$C$70*X68</f>
        <v>145.97984</v>
      </c>
      <c r="Y94" s="176">
        <f>Допущения!$C$70*Y68</f>
        <v>145.97984</v>
      </c>
      <c r="Z94" s="176">
        <f>Допущения!$C$70*Z68</f>
        <v>145.97984</v>
      </c>
      <c r="AA94" s="176">
        <f>Допущения!$C$70*AA68</f>
        <v>145.97984</v>
      </c>
      <c r="AB94" s="176">
        <f>Допущения!$C$70*AB68</f>
        <v>145.97984</v>
      </c>
      <c r="AC94" s="176">
        <f>Допущения!$C$70*AC68</f>
        <v>145.97984</v>
      </c>
      <c r="AD94" s="176">
        <f>Допущения!$C$70*AD68</f>
        <v>145.97984</v>
      </c>
      <c r="AE94" s="176">
        <f>Допущения!$C$70*AE68</f>
        <v>150.3592352</v>
      </c>
      <c r="AF94" s="176">
        <f>Допущения!$C$70*AF68</f>
        <v>150.3592352</v>
      </c>
      <c r="AG94" s="176">
        <f>Допущения!$C$70*AG68</f>
        <v>150.3592352</v>
      </c>
      <c r="AH94" s="176">
        <f>Допущения!$C$70*AH68</f>
        <v>150.3592352</v>
      </c>
      <c r="AI94" s="176">
        <f>Допущения!$C$70*AI68</f>
        <v>150.3592352</v>
      </c>
      <c r="AJ94" s="176">
        <f>Допущения!$C$70*AJ68</f>
        <v>150.3592352</v>
      </c>
      <c r="AK94" s="176">
        <f>Допущения!$C$70*AK68</f>
        <v>150.3592352</v>
      </c>
      <c r="AL94" s="176">
        <f>Допущения!$C$70*AL68</f>
        <v>150.3592352</v>
      </c>
      <c r="AM94" s="176">
        <f>Допущения!$C$70*AM68</f>
        <v>150.3592352</v>
      </c>
      <c r="AN94" s="176">
        <f>Допущения!$C$70*AN68</f>
        <v>150.3592352</v>
      </c>
      <c r="AO94" s="176">
        <f>Допущения!$C$70*AO68</f>
        <v>150.3592352</v>
      </c>
      <c r="AP94" s="176">
        <f>Допущения!$C$70*AP68</f>
        <v>150.3592352</v>
      </c>
      <c r="AQ94" s="176">
        <f>Допущения!$C$70*AQ68</f>
        <v>154.870012256</v>
      </c>
      <c r="AR94" s="176">
        <f>Допущения!$C$70*AR68</f>
        <v>154.870012256</v>
      </c>
      <c r="AS94" s="176">
        <f>Допущения!$C$70*AS68</f>
        <v>154.870012256</v>
      </c>
      <c r="AT94" s="176">
        <f>Допущения!$C$70*AT68</f>
        <v>154.870012256</v>
      </c>
      <c r="AU94" s="176">
        <f>Допущения!$C$70*AU68</f>
        <v>154.870012256</v>
      </c>
      <c r="AV94" s="176">
        <f>Допущения!$C$70*AV68</f>
        <v>154.870012256</v>
      </c>
      <c r="AW94" s="176">
        <f>Допущения!$C$70*AW68</f>
        <v>154.870012256</v>
      </c>
      <c r="AX94" s="176">
        <f>Допущения!$C$70*AX68</f>
        <v>154.870012256</v>
      </c>
      <c r="AY94" s="176">
        <f>Допущения!$C$70*AY68</f>
        <v>154.870012256</v>
      </c>
      <c r="AZ94" s="176">
        <f>Допущения!$C$70*AZ68</f>
        <v>154.870012256</v>
      </c>
      <c r="BA94" s="176">
        <f>Допущения!$C$70*BA68</f>
        <v>154.870012256</v>
      </c>
      <c r="BB94" s="176">
        <f>Допущения!$C$70*BB68</f>
        <v>154.870012256</v>
      </c>
      <c r="BC94" s="176">
        <f>Допущения!$C$70*BC68</f>
        <v>159.51611262367999</v>
      </c>
      <c r="BD94" s="176">
        <f>Допущения!$C$70*BD68</f>
        <v>159.51611262367999</v>
      </c>
      <c r="BE94" s="176">
        <f>Допущения!$C$70*BE68</f>
        <v>159.51611262367999</v>
      </c>
      <c r="BF94" s="176">
        <f>Допущения!$C$70*BF68</f>
        <v>159.51611262367999</v>
      </c>
      <c r="BG94" s="176">
        <f>Допущения!$C$70*BG68</f>
        <v>159.51611262367999</v>
      </c>
      <c r="BH94" s="176">
        <f>Допущения!$C$70*BH68</f>
        <v>159.51611262367999</v>
      </c>
      <c r="BI94" s="176">
        <f>Допущения!$C$70*BI68</f>
        <v>159.51611262367999</v>
      </c>
      <c r="BJ94" s="176">
        <f>Допущения!$C$70*BJ68</f>
        <v>159.51611262367999</v>
      </c>
      <c r="BL94" s="101">
        <f t="shared" si="115"/>
        <v>137.6</v>
      </c>
      <c r="BM94" s="101">
        <f t="shared" si="115"/>
        <v>1700.7360000000006</v>
      </c>
      <c r="BN94" s="101">
        <f t="shared" si="115"/>
        <v>1751.7580799999998</v>
      </c>
      <c r="BO94" s="101">
        <f t="shared" si="115"/>
        <v>1804.3108224000005</v>
      </c>
      <c r="BP94" s="101">
        <f t="shared" si="115"/>
        <v>1858.4401470719995</v>
      </c>
      <c r="BQ94" s="101">
        <f t="shared" si="115"/>
        <v>1276.1289009894399</v>
      </c>
    </row>
    <row r="95" spans="1:69">
      <c r="A95" s="30" t="str">
        <f t="shared" si="112"/>
        <v>Охранник</v>
      </c>
      <c r="B95" s="75" t="s">
        <v>251</v>
      </c>
      <c r="C95" s="176">
        <f>Допущения!$C$70*C69</f>
        <v>0</v>
      </c>
      <c r="D95" s="176">
        <f>Допущения!$C$70*D69</f>
        <v>0</v>
      </c>
      <c r="E95" s="176">
        <f>Допущения!$C$70*E69</f>
        <v>0</v>
      </c>
      <c r="F95" s="176">
        <f>Допущения!$C$70*F69</f>
        <v>203.82</v>
      </c>
      <c r="G95" s="176">
        <f>Допущения!$C$70*G69</f>
        <v>209.93460000000002</v>
      </c>
      <c r="H95" s="176">
        <f>Допущения!$C$70*H69</f>
        <v>209.93460000000002</v>
      </c>
      <c r="I95" s="176">
        <f>Допущения!$C$70*I69</f>
        <v>209.93460000000002</v>
      </c>
      <c r="J95" s="176">
        <f>Допущения!$C$70*J69</f>
        <v>209.93460000000002</v>
      </c>
      <c r="K95" s="176">
        <f>Допущения!$C$70*K69</f>
        <v>209.93460000000002</v>
      </c>
      <c r="L95" s="176">
        <f>Допущения!$C$70*L69</f>
        <v>209.93460000000002</v>
      </c>
      <c r="M95" s="176">
        <f>Допущения!$C$70*M69</f>
        <v>209.93460000000002</v>
      </c>
      <c r="N95" s="176">
        <f>Допущения!$C$70*N69</f>
        <v>209.93460000000002</v>
      </c>
      <c r="O95" s="176">
        <f>Допущения!$C$70*O69</f>
        <v>209.93460000000002</v>
      </c>
      <c r="P95" s="176">
        <f>Допущения!$C$70*P69</f>
        <v>209.93460000000002</v>
      </c>
      <c r="Q95" s="176">
        <f>Допущения!$C$70*Q69</f>
        <v>209.93460000000002</v>
      </c>
      <c r="R95" s="176">
        <f>Допущения!$C$70*R69</f>
        <v>209.93460000000002</v>
      </c>
      <c r="S95" s="176">
        <f>Допущения!$C$70*S69</f>
        <v>216.23263799999998</v>
      </c>
      <c r="T95" s="176">
        <f>Допущения!$C$70*T69</f>
        <v>216.23263799999998</v>
      </c>
      <c r="U95" s="176">
        <f>Допущения!$C$70*U69</f>
        <v>216.23263799999998</v>
      </c>
      <c r="V95" s="176">
        <f>Допущения!$C$70*V69</f>
        <v>216.23263799999998</v>
      </c>
      <c r="W95" s="176">
        <f>Допущения!$C$70*W69</f>
        <v>216.23263799999998</v>
      </c>
      <c r="X95" s="176">
        <f>Допущения!$C$70*X69</f>
        <v>216.23263799999998</v>
      </c>
      <c r="Y95" s="176">
        <f>Допущения!$C$70*Y69</f>
        <v>216.23263799999998</v>
      </c>
      <c r="Z95" s="176">
        <f>Допущения!$C$70*Z69</f>
        <v>216.23263799999998</v>
      </c>
      <c r="AA95" s="176">
        <f>Допущения!$C$70*AA69</f>
        <v>216.23263799999998</v>
      </c>
      <c r="AB95" s="176">
        <f>Допущения!$C$70*AB69</f>
        <v>216.23263799999998</v>
      </c>
      <c r="AC95" s="176">
        <f>Допущения!$C$70*AC69</f>
        <v>216.23263799999998</v>
      </c>
      <c r="AD95" s="176">
        <f>Допущения!$C$70*AD69</f>
        <v>216.23263799999998</v>
      </c>
      <c r="AE95" s="176">
        <f>Допущения!$C$70*AE69</f>
        <v>222.71961713999997</v>
      </c>
      <c r="AF95" s="176">
        <f>Допущения!$C$70*AF69</f>
        <v>222.71961713999997</v>
      </c>
      <c r="AG95" s="176">
        <f>Допущения!$C$70*AG69</f>
        <v>222.71961713999997</v>
      </c>
      <c r="AH95" s="176">
        <f>Допущения!$C$70*AH69</f>
        <v>222.71961713999997</v>
      </c>
      <c r="AI95" s="176">
        <f>Допущения!$C$70*AI69</f>
        <v>222.71961713999997</v>
      </c>
      <c r="AJ95" s="176">
        <f>Допущения!$C$70*AJ69</f>
        <v>222.71961713999997</v>
      </c>
      <c r="AK95" s="176">
        <f>Допущения!$C$70*AK69</f>
        <v>222.71961713999997</v>
      </c>
      <c r="AL95" s="176">
        <f>Допущения!$C$70*AL69</f>
        <v>222.71961713999997</v>
      </c>
      <c r="AM95" s="176">
        <f>Допущения!$C$70*AM69</f>
        <v>222.71961713999997</v>
      </c>
      <c r="AN95" s="176">
        <f>Допущения!$C$70*AN69</f>
        <v>222.71961713999997</v>
      </c>
      <c r="AO95" s="176">
        <f>Допущения!$C$70*AO69</f>
        <v>222.71961713999997</v>
      </c>
      <c r="AP95" s="176">
        <f>Допущения!$C$70*AP69</f>
        <v>222.71961713999997</v>
      </c>
      <c r="AQ95" s="176">
        <f>Допущения!$C$70*AQ69</f>
        <v>229.40120565419997</v>
      </c>
      <c r="AR95" s="176">
        <f>Допущения!$C$70*AR69</f>
        <v>229.40120565419997</v>
      </c>
      <c r="AS95" s="176">
        <f>Допущения!$C$70*AS69</f>
        <v>229.40120565419997</v>
      </c>
      <c r="AT95" s="176">
        <f>Допущения!$C$70*AT69</f>
        <v>229.40120565419997</v>
      </c>
      <c r="AU95" s="176">
        <f>Допущения!$C$70*AU69</f>
        <v>229.40120565419997</v>
      </c>
      <c r="AV95" s="176">
        <f>Допущения!$C$70*AV69</f>
        <v>229.40120565419997</v>
      </c>
      <c r="AW95" s="176">
        <f>Допущения!$C$70*AW69</f>
        <v>229.40120565419997</v>
      </c>
      <c r="AX95" s="176">
        <f>Допущения!$C$70*AX69</f>
        <v>229.40120565419997</v>
      </c>
      <c r="AY95" s="176">
        <f>Допущения!$C$70*AY69</f>
        <v>229.40120565419997</v>
      </c>
      <c r="AZ95" s="176">
        <f>Допущения!$C$70*AZ69</f>
        <v>229.40120565419997</v>
      </c>
      <c r="BA95" s="176">
        <f>Допущения!$C$70*BA69</f>
        <v>229.40120565419997</v>
      </c>
      <c r="BB95" s="176">
        <f>Допущения!$C$70*BB69</f>
        <v>229.40120565419997</v>
      </c>
      <c r="BC95" s="176">
        <f>Допущения!$C$70*BC69</f>
        <v>236.28324182382602</v>
      </c>
      <c r="BD95" s="176">
        <f>Допущения!$C$70*BD69</f>
        <v>236.28324182382602</v>
      </c>
      <c r="BE95" s="176">
        <f>Допущения!$C$70*BE69</f>
        <v>236.28324182382602</v>
      </c>
      <c r="BF95" s="176">
        <f>Допущения!$C$70*BF69</f>
        <v>236.28324182382602</v>
      </c>
      <c r="BG95" s="176">
        <f>Допущения!$C$70*BG69</f>
        <v>236.28324182382602</v>
      </c>
      <c r="BH95" s="176">
        <f>Допущения!$C$70*BH69</f>
        <v>236.28324182382602</v>
      </c>
      <c r="BI95" s="176">
        <f>Допущения!$C$70*BI69</f>
        <v>236.28324182382602</v>
      </c>
      <c r="BJ95" s="176">
        <f>Допущения!$C$70*BJ69</f>
        <v>236.28324182382602</v>
      </c>
      <c r="BL95" s="101">
        <f t="shared" si="115"/>
        <v>203.82</v>
      </c>
      <c r="BM95" s="101">
        <f t="shared" si="115"/>
        <v>2519.2152000000001</v>
      </c>
      <c r="BN95" s="101">
        <f t="shared" si="115"/>
        <v>2594.7916559999999</v>
      </c>
      <c r="BO95" s="101">
        <f t="shared" si="115"/>
        <v>2672.6354056800005</v>
      </c>
      <c r="BP95" s="101">
        <f t="shared" si="115"/>
        <v>2752.8144678504</v>
      </c>
      <c r="BQ95" s="101">
        <f t="shared" si="115"/>
        <v>1890.2659345906084</v>
      </c>
    </row>
    <row r="96" spans="1:69">
      <c r="A96" s="30" t="str">
        <f t="shared" si="112"/>
        <v>Уборщик</v>
      </c>
      <c r="B96" s="75" t="s">
        <v>251</v>
      </c>
      <c r="C96" s="176">
        <f>Допущения!$C$70*C70</f>
        <v>0</v>
      </c>
      <c r="D96" s="176">
        <f>Допущения!$C$70*D70</f>
        <v>0</v>
      </c>
      <c r="E96" s="176">
        <f>Допущения!$C$70*E70</f>
        <v>0</v>
      </c>
      <c r="F96" s="176">
        <f>Допущения!$C$70*F70</f>
        <v>90.3</v>
      </c>
      <c r="G96" s="176">
        <f>Допущения!$C$70*G70</f>
        <v>93.009</v>
      </c>
      <c r="H96" s="176">
        <f>Допущения!$C$70*H70</f>
        <v>93.009</v>
      </c>
      <c r="I96" s="176">
        <f>Допущения!$C$70*I70</f>
        <v>93.009</v>
      </c>
      <c r="J96" s="176">
        <f>Допущения!$C$70*J70</f>
        <v>93.009</v>
      </c>
      <c r="K96" s="176">
        <f>Допущения!$C$70*K70</f>
        <v>93.009</v>
      </c>
      <c r="L96" s="176">
        <f>Допущения!$C$70*L70</f>
        <v>93.009</v>
      </c>
      <c r="M96" s="176">
        <f>Допущения!$C$70*M70</f>
        <v>93.009</v>
      </c>
      <c r="N96" s="176">
        <f>Допущения!$C$70*N70</f>
        <v>93.009</v>
      </c>
      <c r="O96" s="176">
        <f>Допущения!$C$70*O70</f>
        <v>93.009</v>
      </c>
      <c r="P96" s="176">
        <f>Допущения!$C$70*P70</f>
        <v>93.009</v>
      </c>
      <c r="Q96" s="176">
        <f>Допущения!$C$70*Q70</f>
        <v>93.009</v>
      </c>
      <c r="R96" s="176">
        <f>Допущения!$C$70*R70</f>
        <v>93.009</v>
      </c>
      <c r="S96" s="176">
        <f>Допущения!$C$70*S70</f>
        <v>95.799269999999993</v>
      </c>
      <c r="T96" s="176">
        <f>Допущения!$C$70*T70</f>
        <v>95.799269999999993</v>
      </c>
      <c r="U96" s="176">
        <f>Допущения!$C$70*U70</f>
        <v>95.799269999999993</v>
      </c>
      <c r="V96" s="176">
        <f>Допущения!$C$70*V70</f>
        <v>95.799269999999993</v>
      </c>
      <c r="W96" s="176">
        <f>Допущения!$C$70*W70</f>
        <v>95.799269999999993</v>
      </c>
      <c r="X96" s="176">
        <f>Допущения!$C$70*X70</f>
        <v>95.799269999999993</v>
      </c>
      <c r="Y96" s="176">
        <f>Допущения!$C$70*Y70</f>
        <v>95.799269999999993</v>
      </c>
      <c r="Z96" s="176">
        <f>Допущения!$C$70*Z70</f>
        <v>95.799269999999993</v>
      </c>
      <c r="AA96" s="176">
        <f>Допущения!$C$70*AA70</f>
        <v>95.799269999999993</v>
      </c>
      <c r="AB96" s="176">
        <f>Допущения!$C$70*AB70</f>
        <v>95.799269999999993</v>
      </c>
      <c r="AC96" s="176">
        <f>Допущения!$C$70*AC70</f>
        <v>95.799269999999993</v>
      </c>
      <c r="AD96" s="176">
        <f>Допущения!$C$70*AD70</f>
        <v>95.799269999999993</v>
      </c>
      <c r="AE96" s="176">
        <f>Допущения!$C$70*AE70</f>
        <v>98.673248099999995</v>
      </c>
      <c r="AF96" s="176">
        <f>Допущения!$C$70*AF70</f>
        <v>98.673248099999995</v>
      </c>
      <c r="AG96" s="176">
        <f>Допущения!$C$70*AG70</f>
        <v>98.673248099999995</v>
      </c>
      <c r="AH96" s="176">
        <f>Допущения!$C$70*AH70</f>
        <v>98.673248099999995</v>
      </c>
      <c r="AI96" s="176">
        <f>Допущения!$C$70*AI70</f>
        <v>98.673248099999995</v>
      </c>
      <c r="AJ96" s="176">
        <f>Допущения!$C$70*AJ70</f>
        <v>98.673248099999995</v>
      </c>
      <c r="AK96" s="176">
        <f>Допущения!$C$70*AK70</f>
        <v>98.673248099999995</v>
      </c>
      <c r="AL96" s="176">
        <f>Допущения!$C$70*AL70</f>
        <v>98.673248099999995</v>
      </c>
      <c r="AM96" s="176">
        <f>Допущения!$C$70*AM70</f>
        <v>98.673248099999995</v>
      </c>
      <c r="AN96" s="176">
        <f>Допущения!$C$70*AN70</f>
        <v>98.673248099999995</v>
      </c>
      <c r="AO96" s="176">
        <f>Допущения!$C$70*AO70</f>
        <v>98.673248099999995</v>
      </c>
      <c r="AP96" s="176">
        <f>Допущения!$C$70*AP70</f>
        <v>98.673248099999995</v>
      </c>
      <c r="AQ96" s="176">
        <f>Допущения!$C$70*AQ70</f>
        <v>101.63344554300001</v>
      </c>
      <c r="AR96" s="176">
        <f>Допущения!$C$70*AR70</f>
        <v>101.63344554300001</v>
      </c>
      <c r="AS96" s="176">
        <f>Допущения!$C$70*AS70</f>
        <v>101.63344554300001</v>
      </c>
      <c r="AT96" s="176">
        <f>Допущения!$C$70*AT70</f>
        <v>101.63344554300001</v>
      </c>
      <c r="AU96" s="176">
        <f>Допущения!$C$70*AU70</f>
        <v>101.63344554300001</v>
      </c>
      <c r="AV96" s="176">
        <f>Допущения!$C$70*AV70</f>
        <v>101.63344554300001</v>
      </c>
      <c r="AW96" s="176">
        <f>Допущения!$C$70*AW70</f>
        <v>101.63344554300001</v>
      </c>
      <c r="AX96" s="176">
        <f>Допущения!$C$70*AX70</f>
        <v>101.63344554300001</v>
      </c>
      <c r="AY96" s="176">
        <f>Допущения!$C$70*AY70</f>
        <v>101.63344554300001</v>
      </c>
      <c r="AZ96" s="176">
        <f>Допущения!$C$70*AZ70</f>
        <v>101.63344554300001</v>
      </c>
      <c r="BA96" s="176">
        <f>Допущения!$C$70*BA70</f>
        <v>101.63344554300001</v>
      </c>
      <c r="BB96" s="176">
        <f>Допущения!$C$70*BB70</f>
        <v>101.63344554300001</v>
      </c>
      <c r="BC96" s="176">
        <f>Допущения!$C$70*BC70</f>
        <v>104.68244890928999</v>
      </c>
      <c r="BD96" s="176">
        <f>Допущения!$C$70*BD70</f>
        <v>104.68244890928999</v>
      </c>
      <c r="BE96" s="176">
        <f>Допущения!$C$70*BE70</f>
        <v>104.68244890928999</v>
      </c>
      <c r="BF96" s="176">
        <f>Допущения!$C$70*BF70</f>
        <v>104.68244890928999</v>
      </c>
      <c r="BG96" s="176">
        <f>Допущения!$C$70*BG70</f>
        <v>104.68244890928999</v>
      </c>
      <c r="BH96" s="176">
        <f>Допущения!$C$70*BH70</f>
        <v>104.68244890928999</v>
      </c>
      <c r="BI96" s="176">
        <f>Допущения!$C$70*BI70</f>
        <v>104.68244890928999</v>
      </c>
      <c r="BJ96" s="176">
        <f>Допущения!$C$70*BJ70</f>
        <v>104.68244890928999</v>
      </c>
      <c r="BL96" s="101">
        <f t="shared" ref="BL96:BQ96" si="116">SUMIF($C$2:$BJ$2,BL$2,$C96:$BJ96)</f>
        <v>90.3</v>
      </c>
      <c r="BM96" s="101">
        <f t="shared" si="116"/>
        <v>1116.1079999999999</v>
      </c>
      <c r="BN96" s="101">
        <f t="shared" si="116"/>
        <v>1149.59124</v>
      </c>
      <c r="BO96" s="101">
        <f t="shared" si="116"/>
        <v>1184.0789772000001</v>
      </c>
      <c r="BP96" s="101">
        <f t="shared" si="116"/>
        <v>1219.6013465160001</v>
      </c>
      <c r="BQ96" s="101">
        <f t="shared" si="116"/>
        <v>837.45959127431991</v>
      </c>
    </row>
    <row r="97" spans="1:69">
      <c r="A97" s="18" t="str">
        <f>A128</f>
        <v>Коммерческий персонал</v>
      </c>
      <c r="B97" s="54" t="s">
        <v>250</v>
      </c>
      <c r="C97" s="98">
        <f>SUM(C98:C100)</f>
        <v>0</v>
      </c>
      <c r="D97" s="98">
        <f t="shared" ref="D97:BJ97" si="117">SUM(D98:D100)</f>
        <v>0</v>
      </c>
      <c r="E97" s="98">
        <f t="shared" si="117"/>
        <v>0</v>
      </c>
      <c r="F97" s="98">
        <f t="shared" si="117"/>
        <v>245.95999999999998</v>
      </c>
      <c r="G97" s="98">
        <f t="shared" si="117"/>
        <v>253.33879999999999</v>
      </c>
      <c r="H97" s="98">
        <f t="shared" si="117"/>
        <v>253.33879999999999</v>
      </c>
      <c r="I97" s="98">
        <f t="shared" si="117"/>
        <v>253.33879999999999</v>
      </c>
      <c r="J97" s="98">
        <f t="shared" si="117"/>
        <v>253.33879999999999</v>
      </c>
      <c r="K97" s="98">
        <f t="shared" si="117"/>
        <v>253.33879999999999</v>
      </c>
      <c r="L97" s="98">
        <f t="shared" si="117"/>
        <v>253.33879999999999</v>
      </c>
      <c r="M97" s="98">
        <f t="shared" si="117"/>
        <v>253.33879999999999</v>
      </c>
      <c r="N97" s="98">
        <f t="shared" si="117"/>
        <v>253.33879999999999</v>
      </c>
      <c r="O97" s="98">
        <f t="shared" si="117"/>
        <v>253.33879999999999</v>
      </c>
      <c r="P97" s="98">
        <f t="shared" si="117"/>
        <v>253.33879999999999</v>
      </c>
      <c r="Q97" s="98">
        <f t="shared" si="117"/>
        <v>253.33879999999999</v>
      </c>
      <c r="R97" s="98">
        <f t="shared" si="117"/>
        <v>253.33879999999999</v>
      </c>
      <c r="S97" s="98">
        <f t="shared" si="117"/>
        <v>260.938964</v>
      </c>
      <c r="T97" s="98">
        <f t="shared" si="117"/>
        <v>260.938964</v>
      </c>
      <c r="U97" s="98">
        <f t="shared" si="117"/>
        <v>260.938964</v>
      </c>
      <c r="V97" s="98">
        <f t="shared" si="117"/>
        <v>260.938964</v>
      </c>
      <c r="W97" s="98">
        <f t="shared" si="117"/>
        <v>260.938964</v>
      </c>
      <c r="X97" s="98">
        <f t="shared" si="117"/>
        <v>260.938964</v>
      </c>
      <c r="Y97" s="98">
        <f t="shared" si="117"/>
        <v>260.938964</v>
      </c>
      <c r="Z97" s="98">
        <f t="shared" si="117"/>
        <v>260.938964</v>
      </c>
      <c r="AA97" s="98">
        <f t="shared" si="117"/>
        <v>260.938964</v>
      </c>
      <c r="AB97" s="98">
        <f t="shared" si="117"/>
        <v>260.938964</v>
      </c>
      <c r="AC97" s="98">
        <f t="shared" si="117"/>
        <v>260.938964</v>
      </c>
      <c r="AD97" s="98">
        <f t="shared" si="117"/>
        <v>260.938964</v>
      </c>
      <c r="AE97" s="98">
        <f t="shared" si="117"/>
        <v>268.76713291999999</v>
      </c>
      <c r="AF97" s="98">
        <f t="shared" si="117"/>
        <v>268.76713291999999</v>
      </c>
      <c r="AG97" s="98">
        <f t="shared" si="117"/>
        <v>268.76713291999999</v>
      </c>
      <c r="AH97" s="98">
        <f t="shared" si="117"/>
        <v>268.76713291999999</v>
      </c>
      <c r="AI97" s="98">
        <f t="shared" si="117"/>
        <v>268.76713291999999</v>
      </c>
      <c r="AJ97" s="98">
        <f t="shared" si="117"/>
        <v>268.76713291999999</v>
      </c>
      <c r="AK97" s="98">
        <f t="shared" si="117"/>
        <v>268.76713291999999</v>
      </c>
      <c r="AL97" s="98">
        <f t="shared" si="117"/>
        <v>268.76713291999999</v>
      </c>
      <c r="AM97" s="98">
        <f t="shared" si="117"/>
        <v>268.76713291999999</v>
      </c>
      <c r="AN97" s="98">
        <f t="shared" si="117"/>
        <v>268.76713291999999</v>
      </c>
      <c r="AO97" s="98">
        <f t="shared" si="117"/>
        <v>268.76713291999999</v>
      </c>
      <c r="AP97" s="98">
        <f t="shared" si="117"/>
        <v>268.76713291999999</v>
      </c>
      <c r="AQ97" s="98">
        <f t="shared" si="117"/>
        <v>276.83014690760007</v>
      </c>
      <c r="AR97" s="98">
        <f t="shared" si="117"/>
        <v>276.83014690760007</v>
      </c>
      <c r="AS97" s="98">
        <f t="shared" si="117"/>
        <v>276.83014690760007</v>
      </c>
      <c r="AT97" s="98">
        <f t="shared" si="117"/>
        <v>276.83014690760007</v>
      </c>
      <c r="AU97" s="98">
        <f t="shared" si="117"/>
        <v>276.83014690760007</v>
      </c>
      <c r="AV97" s="98">
        <f t="shared" si="117"/>
        <v>276.83014690760007</v>
      </c>
      <c r="AW97" s="98">
        <f t="shared" si="117"/>
        <v>276.83014690760007</v>
      </c>
      <c r="AX97" s="98">
        <f t="shared" si="117"/>
        <v>276.83014690760007</v>
      </c>
      <c r="AY97" s="98">
        <f t="shared" si="117"/>
        <v>276.83014690760007</v>
      </c>
      <c r="AZ97" s="98">
        <f t="shared" si="117"/>
        <v>276.83014690760007</v>
      </c>
      <c r="BA97" s="98">
        <f t="shared" si="117"/>
        <v>276.83014690760007</v>
      </c>
      <c r="BB97" s="98">
        <f t="shared" si="117"/>
        <v>276.83014690760007</v>
      </c>
      <c r="BC97" s="98">
        <f t="shared" si="117"/>
        <v>285.13505131482799</v>
      </c>
      <c r="BD97" s="98">
        <f t="shared" si="117"/>
        <v>285.13505131482799</v>
      </c>
      <c r="BE97" s="98">
        <f t="shared" si="117"/>
        <v>285.13505131482799</v>
      </c>
      <c r="BF97" s="98">
        <f t="shared" si="117"/>
        <v>285.13505131482799</v>
      </c>
      <c r="BG97" s="98">
        <f t="shared" si="117"/>
        <v>285.13505131482799</v>
      </c>
      <c r="BH97" s="98">
        <f t="shared" si="117"/>
        <v>285.13505131482799</v>
      </c>
      <c r="BI97" s="98">
        <f t="shared" si="117"/>
        <v>285.13505131482799</v>
      </c>
      <c r="BJ97" s="98">
        <f t="shared" si="117"/>
        <v>285.13505131482799</v>
      </c>
      <c r="BL97" s="24">
        <f t="shared" ref="BL97:BQ100" si="118">SUMIF($C$2:$BJ$2,BL$2,$C97:$BJ97)</f>
        <v>245.95999999999998</v>
      </c>
      <c r="BM97" s="24">
        <f t="shared" si="118"/>
        <v>3040.0655999999999</v>
      </c>
      <c r="BN97" s="24">
        <f t="shared" si="118"/>
        <v>3131.2675679999998</v>
      </c>
      <c r="BO97" s="24">
        <f t="shared" si="118"/>
        <v>3225.2055950400008</v>
      </c>
      <c r="BP97" s="24">
        <f t="shared" si="118"/>
        <v>3321.9617628912006</v>
      </c>
      <c r="BQ97" s="24">
        <f t="shared" si="118"/>
        <v>2281.0804105186239</v>
      </c>
    </row>
    <row r="98" spans="1:69">
      <c r="A98" s="30" t="str">
        <f>A129</f>
        <v>Менеджер по продажам</v>
      </c>
      <c r="B98" s="75" t="s">
        <v>251</v>
      </c>
      <c r="C98" s="97">
        <f>Допущения!$C$70*C72</f>
        <v>0</v>
      </c>
      <c r="D98" s="97">
        <f>Допущения!$C$70*D72</f>
        <v>0</v>
      </c>
      <c r="E98" s="97">
        <f>Допущения!$C$70*E72</f>
        <v>0</v>
      </c>
      <c r="F98" s="97">
        <f>Допущения!$C$70*F72</f>
        <v>125.56</v>
      </c>
      <c r="G98" s="97">
        <f>Допущения!$C$70*G72</f>
        <v>129.32679999999999</v>
      </c>
      <c r="H98" s="97">
        <f>Допущения!$C$70*H72</f>
        <v>129.32679999999999</v>
      </c>
      <c r="I98" s="97">
        <f>Допущения!$C$70*I72</f>
        <v>129.32679999999999</v>
      </c>
      <c r="J98" s="97">
        <f>Допущения!$C$70*J72</f>
        <v>129.32679999999999</v>
      </c>
      <c r="K98" s="97">
        <f>Допущения!$C$70*K72</f>
        <v>129.32679999999999</v>
      </c>
      <c r="L98" s="97">
        <f>Допущения!$C$70*L72</f>
        <v>129.32679999999999</v>
      </c>
      <c r="M98" s="97">
        <f>Допущения!$C$70*M72</f>
        <v>129.32679999999999</v>
      </c>
      <c r="N98" s="97">
        <f>Допущения!$C$70*N72</f>
        <v>129.32679999999999</v>
      </c>
      <c r="O98" s="97">
        <f>Допущения!$C$70*O72</f>
        <v>129.32679999999999</v>
      </c>
      <c r="P98" s="97">
        <f>Допущения!$C$70*P72</f>
        <v>129.32679999999999</v>
      </c>
      <c r="Q98" s="97">
        <f>Допущения!$C$70*Q72</f>
        <v>129.32679999999999</v>
      </c>
      <c r="R98" s="97">
        <f>Допущения!$C$70*R72</f>
        <v>129.32679999999999</v>
      </c>
      <c r="S98" s="97">
        <f>Допущения!$C$70*S72</f>
        <v>133.206604</v>
      </c>
      <c r="T98" s="97">
        <f>Допущения!$C$70*T72</f>
        <v>133.206604</v>
      </c>
      <c r="U98" s="97">
        <f>Допущения!$C$70*U72</f>
        <v>133.206604</v>
      </c>
      <c r="V98" s="97">
        <f>Допущения!$C$70*V72</f>
        <v>133.206604</v>
      </c>
      <c r="W98" s="97">
        <f>Допущения!$C$70*W72</f>
        <v>133.206604</v>
      </c>
      <c r="X98" s="97">
        <f>Допущения!$C$70*X72</f>
        <v>133.206604</v>
      </c>
      <c r="Y98" s="97">
        <f>Допущения!$C$70*Y72</f>
        <v>133.206604</v>
      </c>
      <c r="Z98" s="97">
        <f>Допущения!$C$70*Z72</f>
        <v>133.206604</v>
      </c>
      <c r="AA98" s="97">
        <f>Допущения!$C$70*AA72</f>
        <v>133.206604</v>
      </c>
      <c r="AB98" s="97">
        <f>Допущения!$C$70*AB72</f>
        <v>133.206604</v>
      </c>
      <c r="AC98" s="97">
        <f>Допущения!$C$70*AC72</f>
        <v>133.206604</v>
      </c>
      <c r="AD98" s="97">
        <f>Допущения!$C$70*AD72</f>
        <v>133.206604</v>
      </c>
      <c r="AE98" s="97">
        <f>Допущения!$C$70*AE72</f>
        <v>137.20280212</v>
      </c>
      <c r="AF98" s="97">
        <f>Допущения!$C$70*AF72</f>
        <v>137.20280212</v>
      </c>
      <c r="AG98" s="97">
        <f>Допущения!$C$70*AG72</f>
        <v>137.20280212</v>
      </c>
      <c r="AH98" s="97">
        <f>Допущения!$C$70*AH72</f>
        <v>137.20280212</v>
      </c>
      <c r="AI98" s="97">
        <f>Допущения!$C$70*AI72</f>
        <v>137.20280212</v>
      </c>
      <c r="AJ98" s="97">
        <f>Допущения!$C$70*AJ72</f>
        <v>137.20280212</v>
      </c>
      <c r="AK98" s="97">
        <f>Допущения!$C$70*AK72</f>
        <v>137.20280212</v>
      </c>
      <c r="AL98" s="97">
        <f>Допущения!$C$70*AL72</f>
        <v>137.20280212</v>
      </c>
      <c r="AM98" s="97">
        <f>Допущения!$C$70*AM72</f>
        <v>137.20280212</v>
      </c>
      <c r="AN98" s="97">
        <f>Допущения!$C$70*AN72</f>
        <v>137.20280212</v>
      </c>
      <c r="AO98" s="97">
        <f>Допущения!$C$70*AO72</f>
        <v>137.20280212</v>
      </c>
      <c r="AP98" s="97">
        <f>Допущения!$C$70*AP72</f>
        <v>137.20280212</v>
      </c>
      <c r="AQ98" s="97">
        <f>Допущения!$C$70*AQ72</f>
        <v>141.31888618360003</v>
      </c>
      <c r="AR98" s="97">
        <f>Допущения!$C$70*AR72</f>
        <v>141.31888618360003</v>
      </c>
      <c r="AS98" s="97">
        <f>Допущения!$C$70*AS72</f>
        <v>141.31888618360003</v>
      </c>
      <c r="AT98" s="97">
        <f>Допущения!$C$70*AT72</f>
        <v>141.31888618360003</v>
      </c>
      <c r="AU98" s="97">
        <f>Допущения!$C$70*AU72</f>
        <v>141.31888618360003</v>
      </c>
      <c r="AV98" s="97">
        <f>Допущения!$C$70*AV72</f>
        <v>141.31888618360003</v>
      </c>
      <c r="AW98" s="97">
        <f>Допущения!$C$70*AW72</f>
        <v>141.31888618360003</v>
      </c>
      <c r="AX98" s="97">
        <f>Допущения!$C$70*AX72</f>
        <v>141.31888618360003</v>
      </c>
      <c r="AY98" s="97">
        <f>Допущения!$C$70*AY72</f>
        <v>141.31888618360003</v>
      </c>
      <c r="AZ98" s="97">
        <f>Допущения!$C$70*AZ72</f>
        <v>141.31888618360003</v>
      </c>
      <c r="BA98" s="97">
        <f>Допущения!$C$70*BA72</f>
        <v>141.31888618360003</v>
      </c>
      <c r="BB98" s="97">
        <f>Допущения!$C$70*BB72</f>
        <v>141.31888618360003</v>
      </c>
      <c r="BC98" s="97">
        <f>Допущения!$C$70*BC72</f>
        <v>145.55845276910802</v>
      </c>
      <c r="BD98" s="97">
        <f>Допущения!$C$70*BD72</f>
        <v>145.55845276910802</v>
      </c>
      <c r="BE98" s="97">
        <f>Допущения!$C$70*BE72</f>
        <v>145.55845276910802</v>
      </c>
      <c r="BF98" s="97">
        <f>Допущения!$C$70*BF72</f>
        <v>145.55845276910802</v>
      </c>
      <c r="BG98" s="97">
        <f>Допущения!$C$70*BG72</f>
        <v>145.55845276910802</v>
      </c>
      <c r="BH98" s="97">
        <f>Допущения!$C$70*BH72</f>
        <v>145.55845276910802</v>
      </c>
      <c r="BI98" s="97">
        <f>Допущения!$C$70*BI72</f>
        <v>145.55845276910802</v>
      </c>
      <c r="BJ98" s="97">
        <f>Допущения!$C$70*BJ72</f>
        <v>145.55845276910802</v>
      </c>
      <c r="BL98" s="25">
        <f t="shared" si="118"/>
        <v>125.56</v>
      </c>
      <c r="BM98" s="25">
        <f t="shared" si="118"/>
        <v>1551.9216000000004</v>
      </c>
      <c r="BN98" s="25">
        <f t="shared" si="118"/>
        <v>1598.4792479999999</v>
      </c>
      <c r="BO98" s="25">
        <f t="shared" si="118"/>
        <v>1646.4336254399996</v>
      </c>
      <c r="BP98" s="25">
        <f t="shared" si="118"/>
        <v>1695.8266342032</v>
      </c>
      <c r="BQ98" s="25">
        <f t="shared" si="118"/>
        <v>1164.4676221528641</v>
      </c>
    </row>
    <row r="99" spans="1:69">
      <c r="A99" s="30" t="str">
        <f>A130</f>
        <v>Менеджер по закупкам</v>
      </c>
      <c r="B99" s="75" t="s">
        <v>251</v>
      </c>
      <c r="C99" s="97">
        <f>Допущения!$C$70*C73</f>
        <v>0</v>
      </c>
      <c r="D99" s="97">
        <f>Допущения!$C$70*D73</f>
        <v>0</v>
      </c>
      <c r="E99" s="97">
        <f>Допущения!$C$70*E73</f>
        <v>0</v>
      </c>
      <c r="F99" s="97">
        <f>Допущения!$C$70*F73</f>
        <v>120.39999999999999</v>
      </c>
      <c r="G99" s="97">
        <f>Допущения!$C$70*G73</f>
        <v>124.01199999999999</v>
      </c>
      <c r="H99" s="97">
        <f>Допущения!$C$70*H73</f>
        <v>124.01199999999999</v>
      </c>
      <c r="I99" s="97">
        <f>Допущения!$C$70*I73</f>
        <v>124.01199999999999</v>
      </c>
      <c r="J99" s="97">
        <f>Допущения!$C$70*J73</f>
        <v>124.01199999999999</v>
      </c>
      <c r="K99" s="97">
        <f>Допущения!$C$70*K73</f>
        <v>124.01199999999999</v>
      </c>
      <c r="L99" s="97">
        <f>Допущения!$C$70*L73</f>
        <v>124.01199999999999</v>
      </c>
      <c r="M99" s="97">
        <f>Допущения!$C$70*M73</f>
        <v>124.01199999999999</v>
      </c>
      <c r="N99" s="97">
        <f>Допущения!$C$70*N73</f>
        <v>124.01199999999999</v>
      </c>
      <c r="O99" s="97">
        <f>Допущения!$C$70*O73</f>
        <v>124.01199999999999</v>
      </c>
      <c r="P99" s="97">
        <f>Допущения!$C$70*P73</f>
        <v>124.01199999999999</v>
      </c>
      <c r="Q99" s="97">
        <f>Допущения!$C$70*Q73</f>
        <v>124.01199999999999</v>
      </c>
      <c r="R99" s="97">
        <f>Допущения!$C$70*R73</f>
        <v>124.01199999999999</v>
      </c>
      <c r="S99" s="97">
        <f>Допущения!$C$70*S73</f>
        <v>127.73236000000001</v>
      </c>
      <c r="T99" s="97">
        <f>Допущения!$C$70*T73</f>
        <v>127.73236000000001</v>
      </c>
      <c r="U99" s="97">
        <f>Допущения!$C$70*U73</f>
        <v>127.73236000000001</v>
      </c>
      <c r="V99" s="97">
        <f>Допущения!$C$70*V73</f>
        <v>127.73236000000001</v>
      </c>
      <c r="W99" s="97">
        <f>Допущения!$C$70*W73</f>
        <v>127.73236000000001</v>
      </c>
      <c r="X99" s="97">
        <f>Допущения!$C$70*X73</f>
        <v>127.73236000000001</v>
      </c>
      <c r="Y99" s="97">
        <f>Допущения!$C$70*Y73</f>
        <v>127.73236000000001</v>
      </c>
      <c r="Z99" s="97">
        <f>Допущения!$C$70*Z73</f>
        <v>127.73236000000001</v>
      </c>
      <c r="AA99" s="97">
        <f>Допущения!$C$70*AA73</f>
        <v>127.73236000000001</v>
      </c>
      <c r="AB99" s="97">
        <f>Допущения!$C$70*AB73</f>
        <v>127.73236000000001</v>
      </c>
      <c r="AC99" s="97">
        <f>Допущения!$C$70*AC73</f>
        <v>127.73236000000001</v>
      </c>
      <c r="AD99" s="97">
        <f>Допущения!$C$70*AD73</f>
        <v>127.73236000000001</v>
      </c>
      <c r="AE99" s="97">
        <f>Допущения!$C$70*AE73</f>
        <v>131.56433079999999</v>
      </c>
      <c r="AF99" s="97">
        <f>Допущения!$C$70*AF73</f>
        <v>131.56433079999999</v>
      </c>
      <c r="AG99" s="97">
        <f>Допущения!$C$70*AG73</f>
        <v>131.56433079999999</v>
      </c>
      <c r="AH99" s="97">
        <f>Допущения!$C$70*AH73</f>
        <v>131.56433079999999</v>
      </c>
      <c r="AI99" s="97">
        <f>Допущения!$C$70*AI73</f>
        <v>131.56433079999999</v>
      </c>
      <c r="AJ99" s="97">
        <f>Допущения!$C$70*AJ73</f>
        <v>131.56433079999999</v>
      </c>
      <c r="AK99" s="97">
        <f>Допущения!$C$70*AK73</f>
        <v>131.56433079999999</v>
      </c>
      <c r="AL99" s="97">
        <f>Допущения!$C$70*AL73</f>
        <v>131.56433079999999</v>
      </c>
      <c r="AM99" s="97">
        <f>Допущения!$C$70*AM73</f>
        <v>131.56433079999999</v>
      </c>
      <c r="AN99" s="97">
        <f>Допущения!$C$70*AN73</f>
        <v>131.56433079999999</v>
      </c>
      <c r="AO99" s="97">
        <f>Допущения!$C$70*AO73</f>
        <v>131.56433079999999</v>
      </c>
      <c r="AP99" s="97">
        <f>Допущения!$C$70*AP73</f>
        <v>131.56433079999999</v>
      </c>
      <c r="AQ99" s="97">
        <f>Допущения!$C$70*AQ73</f>
        <v>135.51126072400004</v>
      </c>
      <c r="AR99" s="97">
        <f>Допущения!$C$70*AR73</f>
        <v>135.51126072400004</v>
      </c>
      <c r="AS99" s="97">
        <f>Допущения!$C$70*AS73</f>
        <v>135.51126072400004</v>
      </c>
      <c r="AT99" s="97">
        <f>Допущения!$C$70*AT73</f>
        <v>135.51126072400004</v>
      </c>
      <c r="AU99" s="97">
        <f>Допущения!$C$70*AU73</f>
        <v>135.51126072400004</v>
      </c>
      <c r="AV99" s="97">
        <f>Допущения!$C$70*AV73</f>
        <v>135.51126072400004</v>
      </c>
      <c r="AW99" s="97">
        <f>Допущения!$C$70*AW73</f>
        <v>135.51126072400004</v>
      </c>
      <c r="AX99" s="97">
        <f>Допущения!$C$70*AX73</f>
        <v>135.51126072400004</v>
      </c>
      <c r="AY99" s="97">
        <f>Допущения!$C$70*AY73</f>
        <v>135.51126072400004</v>
      </c>
      <c r="AZ99" s="97">
        <f>Допущения!$C$70*AZ73</f>
        <v>135.51126072400004</v>
      </c>
      <c r="BA99" s="97">
        <f>Допущения!$C$70*BA73</f>
        <v>135.51126072400004</v>
      </c>
      <c r="BB99" s="97">
        <f>Допущения!$C$70*BB73</f>
        <v>135.51126072400004</v>
      </c>
      <c r="BC99" s="97">
        <f>Допущения!$C$70*BC73</f>
        <v>139.57659854571997</v>
      </c>
      <c r="BD99" s="97">
        <f>Допущения!$C$70*BD73</f>
        <v>139.57659854571997</v>
      </c>
      <c r="BE99" s="97">
        <f>Допущения!$C$70*BE73</f>
        <v>139.57659854571997</v>
      </c>
      <c r="BF99" s="97">
        <f>Допущения!$C$70*BF73</f>
        <v>139.57659854571997</v>
      </c>
      <c r="BG99" s="97">
        <f>Допущения!$C$70*BG73</f>
        <v>139.57659854571997</v>
      </c>
      <c r="BH99" s="97">
        <f>Допущения!$C$70*BH73</f>
        <v>139.57659854571997</v>
      </c>
      <c r="BI99" s="97">
        <f>Допущения!$C$70*BI73</f>
        <v>139.57659854571997</v>
      </c>
      <c r="BJ99" s="97">
        <f>Допущения!$C$70*BJ73</f>
        <v>139.57659854571997</v>
      </c>
      <c r="BL99" s="25">
        <f t="shared" si="118"/>
        <v>120.39999999999999</v>
      </c>
      <c r="BM99" s="25">
        <f t="shared" si="118"/>
        <v>1488.1439999999996</v>
      </c>
      <c r="BN99" s="25">
        <f t="shared" si="118"/>
        <v>1532.7883199999999</v>
      </c>
      <c r="BO99" s="25">
        <f t="shared" si="118"/>
        <v>1578.7719695999995</v>
      </c>
      <c r="BP99" s="25">
        <f t="shared" si="118"/>
        <v>1626.1351286880006</v>
      </c>
      <c r="BQ99" s="25">
        <f t="shared" si="118"/>
        <v>1116.6127883657598</v>
      </c>
    </row>
    <row r="100" spans="1:69">
      <c r="A100" s="30"/>
      <c r="B100" s="75" t="s">
        <v>251</v>
      </c>
      <c r="C100" s="97">
        <f>Допущения!$C$70*C74</f>
        <v>0</v>
      </c>
      <c r="D100" s="97">
        <f>Допущения!$C$70*D74</f>
        <v>0</v>
      </c>
      <c r="E100" s="97">
        <f>Допущения!$C$70*E74</f>
        <v>0</v>
      </c>
      <c r="F100" s="97">
        <f>Допущения!$C$70*F74</f>
        <v>0</v>
      </c>
      <c r="G100" s="97">
        <f>Допущения!$C$70*G74</f>
        <v>0</v>
      </c>
      <c r="H100" s="97">
        <f>Допущения!$C$70*H74</f>
        <v>0</v>
      </c>
      <c r="I100" s="97">
        <f>Допущения!$C$70*I74</f>
        <v>0</v>
      </c>
      <c r="J100" s="97">
        <f>Допущения!$C$70*J74</f>
        <v>0</v>
      </c>
      <c r="K100" s="97">
        <f>Допущения!$C$70*K74</f>
        <v>0</v>
      </c>
      <c r="L100" s="97">
        <f>Допущения!$C$70*L74</f>
        <v>0</v>
      </c>
      <c r="M100" s="97">
        <f>Допущения!$C$70*M74</f>
        <v>0</v>
      </c>
      <c r="N100" s="97">
        <f>Допущения!$C$70*N74</f>
        <v>0</v>
      </c>
      <c r="O100" s="97">
        <f>Допущения!$C$70*O74</f>
        <v>0</v>
      </c>
      <c r="P100" s="97">
        <f>Допущения!$C$70*P74</f>
        <v>0</v>
      </c>
      <c r="Q100" s="97">
        <f>Допущения!$C$70*Q74</f>
        <v>0</v>
      </c>
      <c r="R100" s="97">
        <f>Допущения!$C$70*R74</f>
        <v>0</v>
      </c>
      <c r="S100" s="97">
        <f>Допущения!$C$70*S74</f>
        <v>0</v>
      </c>
      <c r="T100" s="97">
        <f>Допущения!$C$70*T74</f>
        <v>0</v>
      </c>
      <c r="U100" s="97">
        <f>Допущения!$C$70*U74</f>
        <v>0</v>
      </c>
      <c r="V100" s="97">
        <f>Допущения!$C$70*V74</f>
        <v>0</v>
      </c>
      <c r="W100" s="97">
        <f>Допущения!$C$70*W74</f>
        <v>0</v>
      </c>
      <c r="X100" s="97">
        <f>Допущения!$C$70*X74</f>
        <v>0</v>
      </c>
      <c r="Y100" s="97">
        <f>Допущения!$C$70*Y74</f>
        <v>0</v>
      </c>
      <c r="Z100" s="97">
        <f>Допущения!$C$70*Z74</f>
        <v>0</v>
      </c>
      <c r="AA100" s="97">
        <f>Допущения!$C$70*AA74</f>
        <v>0</v>
      </c>
      <c r="AB100" s="97">
        <f>Допущения!$C$70*AB74</f>
        <v>0</v>
      </c>
      <c r="AC100" s="97">
        <f>Допущения!$C$70*AC74</f>
        <v>0</v>
      </c>
      <c r="AD100" s="97">
        <f>Допущения!$C$70*AD74</f>
        <v>0</v>
      </c>
      <c r="AE100" s="97">
        <f>Допущения!$C$70*AE74</f>
        <v>0</v>
      </c>
      <c r="AF100" s="97">
        <f>Допущения!$C$70*AF74</f>
        <v>0</v>
      </c>
      <c r="AG100" s="97">
        <f>Допущения!$C$70*AG74</f>
        <v>0</v>
      </c>
      <c r="AH100" s="97">
        <f>Допущения!$C$70*AH74</f>
        <v>0</v>
      </c>
      <c r="AI100" s="97">
        <f>Допущения!$C$70*AI74</f>
        <v>0</v>
      </c>
      <c r="AJ100" s="97">
        <f>Допущения!$C$70*AJ74</f>
        <v>0</v>
      </c>
      <c r="AK100" s="97">
        <f>Допущения!$C$70*AK74</f>
        <v>0</v>
      </c>
      <c r="AL100" s="97">
        <f>Допущения!$C$70*AL74</f>
        <v>0</v>
      </c>
      <c r="AM100" s="97">
        <f>Допущения!$C$70*AM74</f>
        <v>0</v>
      </c>
      <c r="AN100" s="97">
        <f>Допущения!$C$70*AN74</f>
        <v>0</v>
      </c>
      <c r="AO100" s="97">
        <f>Допущения!$C$70*AO74</f>
        <v>0</v>
      </c>
      <c r="AP100" s="97">
        <f>Допущения!$C$70*AP74</f>
        <v>0</v>
      </c>
      <c r="AQ100" s="97">
        <f>Допущения!$C$70*AQ74</f>
        <v>0</v>
      </c>
      <c r="AR100" s="97">
        <f>Допущения!$C$70*AR74</f>
        <v>0</v>
      </c>
      <c r="AS100" s="97">
        <f>Допущения!$C$70*AS74</f>
        <v>0</v>
      </c>
      <c r="AT100" s="97">
        <f>Допущения!$C$70*AT74</f>
        <v>0</v>
      </c>
      <c r="AU100" s="97">
        <f>Допущения!$C$70*AU74</f>
        <v>0</v>
      </c>
      <c r="AV100" s="97">
        <f>Допущения!$C$70*AV74</f>
        <v>0</v>
      </c>
      <c r="AW100" s="97">
        <f>Допущения!$C$70*AW74</f>
        <v>0</v>
      </c>
      <c r="AX100" s="97">
        <f>Допущения!$C$70*AX74</f>
        <v>0</v>
      </c>
      <c r="AY100" s="97">
        <f>Допущения!$C$70*AY74</f>
        <v>0</v>
      </c>
      <c r="AZ100" s="97">
        <f>Допущения!$C$70*AZ74</f>
        <v>0</v>
      </c>
      <c r="BA100" s="97">
        <f>Допущения!$C$70*BA74</f>
        <v>0</v>
      </c>
      <c r="BB100" s="97">
        <f>Допущения!$C$70*BB74</f>
        <v>0</v>
      </c>
      <c r="BC100" s="97">
        <f>Допущения!$C$70*BC74</f>
        <v>0</v>
      </c>
      <c r="BD100" s="97">
        <f>Допущения!$C$70*BD74</f>
        <v>0</v>
      </c>
      <c r="BE100" s="97">
        <f>Допущения!$C$70*BE74</f>
        <v>0</v>
      </c>
      <c r="BF100" s="97">
        <f>Допущения!$C$70*BF74</f>
        <v>0</v>
      </c>
      <c r="BG100" s="97">
        <f>Допущения!$C$70*BG74</f>
        <v>0</v>
      </c>
      <c r="BH100" s="97">
        <f>Допущения!$C$70*BH74</f>
        <v>0</v>
      </c>
      <c r="BI100" s="97">
        <f>Допущения!$C$70*BI74</f>
        <v>0</v>
      </c>
      <c r="BJ100" s="97">
        <f>Допущения!$C$70*BJ74</f>
        <v>0</v>
      </c>
      <c r="BL100" s="25">
        <f t="shared" si="118"/>
        <v>0</v>
      </c>
      <c r="BM100" s="25">
        <f t="shared" si="118"/>
        <v>0</v>
      </c>
      <c r="BN100" s="25">
        <f t="shared" si="118"/>
        <v>0</v>
      </c>
      <c r="BO100" s="25">
        <f t="shared" si="118"/>
        <v>0</v>
      </c>
      <c r="BP100" s="25">
        <f t="shared" si="118"/>
        <v>0</v>
      </c>
      <c r="BQ100" s="25">
        <f t="shared" si="118"/>
        <v>0</v>
      </c>
    </row>
    <row r="101" spans="1:69">
      <c r="A101" s="18" t="str">
        <f t="shared" ref="A101:A108" si="119">A132</f>
        <v>Административный персонал</v>
      </c>
      <c r="B101" s="54" t="s">
        <v>250</v>
      </c>
      <c r="C101" s="98">
        <f t="shared" ref="C101:AH101" si="120">SUM(C102:C108)</f>
        <v>494.92999999999995</v>
      </c>
      <c r="D101" s="98">
        <f t="shared" si="120"/>
        <v>494.92999999999995</v>
      </c>
      <c r="E101" s="98">
        <f t="shared" si="120"/>
        <v>494.92999999999995</v>
      </c>
      <c r="F101" s="98">
        <f t="shared" si="120"/>
        <v>494.92999999999995</v>
      </c>
      <c r="G101" s="98">
        <f t="shared" si="120"/>
        <v>509.77789999999999</v>
      </c>
      <c r="H101" s="98">
        <f t="shared" si="120"/>
        <v>509.77789999999999</v>
      </c>
      <c r="I101" s="98">
        <f t="shared" si="120"/>
        <v>509.77789999999999</v>
      </c>
      <c r="J101" s="98">
        <f t="shared" si="120"/>
        <v>509.77789999999999</v>
      </c>
      <c r="K101" s="98">
        <f t="shared" si="120"/>
        <v>509.77789999999999</v>
      </c>
      <c r="L101" s="98">
        <f t="shared" si="120"/>
        <v>509.77789999999999</v>
      </c>
      <c r="M101" s="98">
        <f t="shared" si="120"/>
        <v>509.77789999999999</v>
      </c>
      <c r="N101" s="98">
        <f t="shared" si="120"/>
        <v>509.77789999999999</v>
      </c>
      <c r="O101" s="98">
        <f t="shared" si="120"/>
        <v>509.77789999999999</v>
      </c>
      <c r="P101" s="98">
        <f t="shared" si="120"/>
        <v>509.77789999999999</v>
      </c>
      <c r="Q101" s="98">
        <f t="shared" si="120"/>
        <v>509.77789999999999</v>
      </c>
      <c r="R101" s="98">
        <f t="shared" si="120"/>
        <v>509.77789999999999</v>
      </c>
      <c r="S101" s="98">
        <f t="shared" si="120"/>
        <v>525.071237</v>
      </c>
      <c r="T101" s="98">
        <f t="shared" si="120"/>
        <v>525.071237</v>
      </c>
      <c r="U101" s="98">
        <f t="shared" si="120"/>
        <v>525.071237</v>
      </c>
      <c r="V101" s="98">
        <f t="shared" si="120"/>
        <v>525.071237</v>
      </c>
      <c r="W101" s="98">
        <f t="shared" si="120"/>
        <v>525.071237</v>
      </c>
      <c r="X101" s="98">
        <f t="shared" si="120"/>
        <v>525.071237</v>
      </c>
      <c r="Y101" s="98">
        <f t="shared" si="120"/>
        <v>525.071237</v>
      </c>
      <c r="Z101" s="98">
        <f t="shared" si="120"/>
        <v>525.071237</v>
      </c>
      <c r="AA101" s="98">
        <f t="shared" si="120"/>
        <v>525.071237</v>
      </c>
      <c r="AB101" s="98">
        <f t="shared" si="120"/>
        <v>525.071237</v>
      </c>
      <c r="AC101" s="98">
        <f t="shared" si="120"/>
        <v>525.071237</v>
      </c>
      <c r="AD101" s="98">
        <f t="shared" si="120"/>
        <v>525.071237</v>
      </c>
      <c r="AE101" s="98">
        <f t="shared" si="120"/>
        <v>540.82337411000003</v>
      </c>
      <c r="AF101" s="98">
        <f t="shared" si="120"/>
        <v>540.82337411000003</v>
      </c>
      <c r="AG101" s="98">
        <f t="shared" si="120"/>
        <v>540.82337411000003</v>
      </c>
      <c r="AH101" s="98">
        <f t="shared" si="120"/>
        <v>540.82337411000003</v>
      </c>
      <c r="AI101" s="98">
        <f t="shared" ref="AI101:BJ101" si="121">SUM(AI102:AI108)</f>
        <v>540.82337411000003</v>
      </c>
      <c r="AJ101" s="98">
        <f t="shared" si="121"/>
        <v>540.82337411000003</v>
      </c>
      <c r="AK101" s="98">
        <f t="shared" si="121"/>
        <v>540.82337411000003</v>
      </c>
      <c r="AL101" s="98">
        <f t="shared" si="121"/>
        <v>540.82337411000003</v>
      </c>
      <c r="AM101" s="98">
        <f t="shared" si="121"/>
        <v>540.82337411000003</v>
      </c>
      <c r="AN101" s="98">
        <f t="shared" si="121"/>
        <v>540.82337411000003</v>
      </c>
      <c r="AO101" s="98">
        <f t="shared" si="121"/>
        <v>540.82337411000003</v>
      </c>
      <c r="AP101" s="98">
        <f t="shared" si="121"/>
        <v>540.82337411000003</v>
      </c>
      <c r="AQ101" s="98">
        <f t="shared" si="121"/>
        <v>557.04807533330006</v>
      </c>
      <c r="AR101" s="98">
        <f t="shared" si="121"/>
        <v>557.04807533330006</v>
      </c>
      <c r="AS101" s="98">
        <f t="shared" si="121"/>
        <v>557.04807533330006</v>
      </c>
      <c r="AT101" s="98">
        <f t="shared" si="121"/>
        <v>557.04807533330006</v>
      </c>
      <c r="AU101" s="98">
        <f t="shared" si="121"/>
        <v>557.04807533330006</v>
      </c>
      <c r="AV101" s="98">
        <f t="shared" si="121"/>
        <v>557.04807533330006</v>
      </c>
      <c r="AW101" s="98">
        <f t="shared" si="121"/>
        <v>557.04807533330006</v>
      </c>
      <c r="AX101" s="98">
        <f t="shared" si="121"/>
        <v>557.04807533330006</v>
      </c>
      <c r="AY101" s="98">
        <f t="shared" si="121"/>
        <v>557.04807533330006</v>
      </c>
      <c r="AZ101" s="98">
        <f t="shared" si="121"/>
        <v>557.04807533330006</v>
      </c>
      <c r="BA101" s="98">
        <f t="shared" si="121"/>
        <v>557.04807533330006</v>
      </c>
      <c r="BB101" s="98">
        <f t="shared" si="121"/>
        <v>557.04807533330006</v>
      </c>
      <c r="BC101" s="98">
        <f t="shared" si="121"/>
        <v>573.75951759329905</v>
      </c>
      <c r="BD101" s="98">
        <f t="shared" si="121"/>
        <v>573.75951759329905</v>
      </c>
      <c r="BE101" s="98">
        <f t="shared" si="121"/>
        <v>573.75951759329905</v>
      </c>
      <c r="BF101" s="98">
        <f t="shared" si="121"/>
        <v>573.75951759329905</v>
      </c>
      <c r="BG101" s="98">
        <f t="shared" si="121"/>
        <v>573.75951759329905</v>
      </c>
      <c r="BH101" s="98">
        <f t="shared" si="121"/>
        <v>573.75951759329905</v>
      </c>
      <c r="BI101" s="98">
        <f t="shared" si="121"/>
        <v>573.75951759329905</v>
      </c>
      <c r="BJ101" s="98">
        <f t="shared" si="121"/>
        <v>573.75951759329905</v>
      </c>
      <c r="BL101" s="24">
        <f t="shared" ref="BL101:BQ108" si="122">SUMIF($C$2:$BJ$2,BL$2,$C101:$BJ101)</f>
        <v>1979.7199999999998</v>
      </c>
      <c r="BM101" s="24">
        <f t="shared" si="122"/>
        <v>6117.3347999999996</v>
      </c>
      <c r="BN101" s="24">
        <f t="shared" si="122"/>
        <v>6300.8548440000004</v>
      </c>
      <c r="BO101" s="24">
        <f t="shared" si="122"/>
        <v>6489.8804893200022</v>
      </c>
      <c r="BP101" s="24">
        <f t="shared" si="122"/>
        <v>6684.5769039996021</v>
      </c>
      <c r="BQ101" s="24">
        <f t="shared" si="122"/>
        <v>4590.0761407463933</v>
      </c>
    </row>
    <row r="102" spans="1:69">
      <c r="A102" s="30" t="str">
        <f t="shared" si="119"/>
        <v>Директор</v>
      </c>
      <c r="B102" s="75" t="s">
        <v>251</v>
      </c>
      <c r="C102" s="97">
        <f>Допущения!$C$70*C76</f>
        <v>66.22</v>
      </c>
      <c r="D102" s="97">
        <f>Допущения!$C$70*D76</f>
        <v>66.22</v>
      </c>
      <c r="E102" s="97">
        <f>Допущения!$C$70*E76</f>
        <v>66.22</v>
      </c>
      <c r="F102" s="97">
        <f>Допущения!$C$70*F76</f>
        <v>66.22</v>
      </c>
      <c r="G102" s="97">
        <f>Допущения!$C$70*G76</f>
        <v>68.206599999999995</v>
      </c>
      <c r="H102" s="97">
        <f>Допущения!$C$70*H76</f>
        <v>68.206599999999995</v>
      </c>
      <c r="I102" s="97">
        <f>Допущения!$C$70*I76</f>
        <v>68.206599999999995</v>
      </c>
      <c r="J102" s="97">
        <f>Допущения!$C$70*J76</f>
        <v>68.206599999999995</v>
      </c>
      <c r="K102" s="97">
        <f>Допущения!$C$70*K76</f>
        <v>68.206599999999995</v>
      </c>
      <c r="L102" s="97">
        <f>Допущения!$C$70*L76</f>
        <v>68.206599999999995</v>
      </c>
      <c r="M102" s="97">
        <f>Допущения!$C$70*M76</f>
        <v>68.206599999999995</v>
      </c>
      <c r="N102" s="97">
        <f>Допущения!$C$70*N76</f>
        <v>68.206599999999995</v>
      </c>
      <c r="O102" s="97">
        <f>Допущения!$C$70*O76</f>
        <v>68.206599999999995</v>
      </c>
      <c r="P102" s="97">
        <f>Допущения!$C$70*P76</f>
        <v>68.206599999999995</v>
      </c>
      <c r="Q102" s="97">
        <f>Допущения!$C$70*Q76</f>
        <v>68.206599999999995</v>
      </c>
      <c r="R102" s="97">
        <f>Допущения!$C$70*R76</f>
        <v>68.206599999999995</v>
      </c>
      <c r="S102" s="97">
        <f>Допущения!$C$70*S76</f>
        <v>70.252797999999999</v>
      </c>
      <c r="T102" s="97">
        <f>Допущения!$C$70*T76</f>
        <v>70.252797999999999</v>
      </c>
      <c r="U102" s="97">
        <f>Допущения!$C$70*U76</f>
        <v>70.252797999999999</v>
      </c>
      <c r="V102" s="97">
        <f>Допущения!$C$70*V76</f>
        <v>70.252797999999999</v>
      </c>
      <c r="W102" s="97">
        <f>Допущения!$C$70*W76</f>
        <v>70.252797999999999</v>
      </c>
      <c r="X102" s="97">
        <f>Допущения!$C$70*X76</f>
        <v>70.252797999999999</v>
      </c>
      <c r="Y102" s="97">
        <f>Допущения!$C$70*Y76</f>
        <v>70.252797999999999</v>
      </c>
      <c r="Z102" s="97">
        <f>Допущения!$C$70*Z76</f>
        <v>70.252797999999999</v>
      </c>
      <c r="AA102" s="97">
        <f>Допущения!$C$70*AA76</f>
        <v>70.252797999999999</v>
      </c>
      <c r="AB102" s="97">
        <f>Допущения!$C$70*AB76</f>
        <v>70.252797999999999</v>
      </c>
      <c r="AC102" s="97">
        <f>Допущения!$C$70*AC76</f>
        <v>70.252797999999999</v>
      </c>
      <c r="AD102" s="97">
        <f>Допущения!$C$70*AD76</f>
        <v>70.252797999999999</v>
      </c>
      <c r="AE102" s="97">
        <f>Допущения!$C$70*AE76</f>
        <v>72.360381940000011</v>
      </c>
      <c r="AF102" s="97">
        <f>Допущения!$C$70*AF76</f>
        <v>72.360381940000011</v>
      </c>
      <c r="AG102" s="97">
        <f>Допущения!$C$70*AG76</f>
        <v>72.360381940000011</v>
      </c>
      <c r="AH102" s="97">
        <f>Допущения!$C$70*AH76</f>
        <v>72.360381940000011</v>
      </c>
      <c r="AI102" s="97">
        <f>Допущения!$C$70*AI76</f>
        <v>72.360381940000011</v>
      </c>
      <c r="AJ102" s="97">
        <f>Допущения!$C$70*AJ76</f>
        <v>72.360381940000011</v>
      </c>
      <c r="AK102" s="97">
        <f>Допущения!$C$70*AK76</f>
        <v>72.360381940000011</v>
      </c>
      <c r="AL102" s="97">
        <f>Допущения!$C$70*AL76</f>
        <v>72.360381940000011</v>
      </c>
      <c r="AM102" s="97">
        <f>Допущения!$C$70*AM76</f>
        <v>72.360381940000011</v>
      </c>
      <c r="AN102" s="97">
        <f>Допущения!$C$70*AN76</f>
        <v>72.360381940000011</v>
      </c>
      <c r="AO102" s="97">
        <f>Допущения!$C$70*AO76</f>
        <v>72.360381940000011</v>
      </c>
      <c r="AP102" s="97">
        <f>Допущения!$C$70*AP76</f>
        <v>72.360381940000011</v>
      </c>
      <c r="AQ102" s="97">
        <f>Допущения!$C$70*AQ76</f>
        <v>74.531193398200003</v>
      </c>
      <c r="AR102" s="97">
        <f>Допущения!$C$70*AR76</f>
        <v>74.531193398200003</v>
      </c>
      <c r="AS102" s="97">
        <f>Допущения!$C$70*AS76</f>
        <v>74.531193398200003</v>
      </c>
      <c r="AT102" s="97">
        <f>Допущения!$C$70*AT76</f>
        <v>74.531193398200003</v>
      </c>
      <c r="AU102" s="97">
        <f>Допущения!$C$70*AU76</f>
        <v>74.531193398200003</v>
      </c>
      <c r="AV102" s="97">
        <f>Допущения!$C$70*AV76</f>
        <v>74.531193398200003</v>
      </c>
      <c r="AW102" s="97">
        <f>Допущения!$C$70*AW76</f>
        <v>74.531193398200003</v>
      </c>
      <c r="AX102" s="97">
        <f>Допущения!$C$70*AX76</f>
        <v>74.531193398200003</v>
      </c>
      <c r="AY102" s="97">
        <f>Допущения!$C$70*AY76</f>
        <v>74.531193398200003</v>
      </c>
      <c r="AZ102" s="97">
        <f>Допущения!$C$70*AZ76</f>
        <v>74.531193398200003</v>
      </c>
      <c r="BA102" s="97">
        <f>Допущения!$C$70*BA76</f>
        <v>74.531193398200003</v>
      </c>
      <c r="BB102" s="97">
        <f>Допущения!$C$70*BB76</f>
        <v>74.531193398200003</v>
      </c>
      <c r="BC102" s="97">
        <f>Допущения!$C$70*BC76</f>
        <v>76.767129200146016</v>
      </c>
      <c r="BD102" s="97">
        <f>Допущения!$C$70*BD76</f>
        <v>76.767129200146016</v>
      </c>
      <c r="BE102" s="97">
        <f>Допущения!$C$70*BE76</f>
        <v>76.767129200146016</v>
      </c>
      <c r="BF102" s="97">
        <f>Допущения!$C$70*BF76</f>
        <v>76.767129200146016</v>
      </c>
      <c r="BG102" s="97">
        <f>Допущения!$C$70*BG76</f>
        <v>76.767129200146016</v>
      </c>
      <c r="BH102" s="97">
        <f>Допущения!$C$70*BH76</f>
        <v>76.767129200146016</v>
      </c>
      <c r="BI102" s="97">
        <f>Допущения!$C$70*BI76</f>
        <v>76.767129200146016</v>
      </c>
      <c r="BJ102" s="97">
        <f>Допущения!$C$70*BJ76</f>
        <v>76.767129200146016</v>
      </c>
      <c r="BL102" s="25">
        <f t="shared" si="122"/>
        <v>264.88</v>
      </c>
      <c r="BM102" s="25">
        <f t="shared" si="122"/>
        <v>818.47919999999988</v>
      </c>
      <c r="BN102" s="25">
        <f t="shared" si="122"/>
        <v>843.03357599999993</v>
      </c>
      <c r="BO102" s="25">
        <f t="shared" si="122"/>
        <v>868.32458328000018</v>
      </c>
      <c r="BP102" s="25">
        <f t="shared" si="122"/>
        <v>894.37432077840003</v>
      </c>
      <c r="BQ102" s="25">
        <f t="shared" si="122"/>
        <v>614.13703360116813</v>
      </c>
    </row>
    <row r="103" spans="1:69">
      <c r="A103" s="30" t="str">
        <f t="shared" si="119"/>
        <v>Директор производства</v>
      </c>
      <c r="B103" s="75" t="s">
        <v>251</v>
      </c>
      <c r="C103" s="97">
        <f>Допущения!$C$70*C77</f>
        <v>47.3</v>
      </c>
      <c r="D103" s="97">
        <f>Допущения!$C$70*D77</f>
        <v>47.3</v>
      </c>
      <c r="E103" s="97">
        <f>Допущения!$C$70*E77</f>
        <v>47.3</v>
      </c>
      <c r="F103" s="97">
        <f>Допущения!$C$70*F77</f>
        <v>47.3</v>
      </c>
      <c r="G103" s="97">
        <f>Допущения!$C$70*G77</f>
        <v>48.719000000000001</v>
      </c>
      <c r="H103" s="97">
        <f>Допущения!$C$70*H77</f>
        <v>48.719000000000001</v>
      </c>
      <c r="I103" s="97">
        <f>Допущения!$C$70*I77</f>
        <v>48.719000000000001</v>
      </c>
      <c r="J103" s="97">
        <f>Допущения!$C$70*J77</f>
        <v>48.719000000000001</v>
      </c>
      <c r="K103" s="97">
        <f>Допущения!$C$70*K77</f>
        <v>48.719000000000001</v>
      </c>
      <c r="L103" s="97">
        <f>Допущения!$C$70*L77</f>
        <v>48.719000000000001</v>
      </c>
      <c r="M103" s="97">
        <f>Допущения!$C$70*M77</f>
        <v>48.719000000000001</v>
      </c>
      <c r="N103" s="97">
        <f>Допущения!$C$70*N77</f>
        <v>48.719000000000001</v>
      </c>
      <c r="O103" s="97">
        <f>Допущения!$C$70*O77</f>
        <v>48.719000000000001</v>
      </c>
      <c r="P103" s="97">
        <f>Допущения!$C$70*P77</f>
        <v>48.719000000000001</v>
      </c>
      <c r="Q103" s="97">
        <f>Допущения!$C$70*Q77</f>
        <v>48.719000000000001</v>
      </c>
      <c r="R103" s="97">
        <f>Допущения!$C$70*R77</f>
        <v>48.719000000000001</v>
      </c>
      <c r="S103" s="97">
        <f>Допущения!$C$70*S77</f>
        <v>50.180569999999996</v>
      </c>
      <c r="T103" s="97">
        <f>Допущения!$C$70*T77</f>
        <v>50.180569999999996</v>
      </c>
      <c r="U103" s="97">
        <f>Допущения!$C$70*U77</f>
        <v>50.180569999999996</v>
      </c>
      <c r="V103" s="97">
        <f>Допущения!$C$70*V77</f>
        <v>50.180569999999996</v>
      </c>
      <c r="W103" s="97">
        <f>Допущения!$C$70*W77</f>
        <v>50.180569999999996</v>
      </c>
      <c r="X103" s="97">
        <f>Допущения!$C$70*X77</f>
        <v>50.180569999999996</v>
      </c>
      <c r="Y103" s="97">
        <f>Допущения!$C$70*Y77</f>
        <v>50.180569999999996</v>
      </c>
      <c r="Z103" s="97">
        <f>Допущения!$C$70*Z77</f>
        <v>50.180569999999996</v>
      </c>
      <c r="AA103" s="97">
        <f>Допущения!$C$70*AA77</f>
        <v>50.180569999999996</v>
      </c>
      <c r="AB103" s="97">
        <f>Допущения!$C$70*AB77</f>
        <v>50.180569999999996</v>
      </c>
      <c r="AC103" s="97">
        <f>Допущения!$C$70*AC77</f>
        <v>50.180569999999996</v>
      </c>
      <c r="AD103" s="97">
        <f>Допущения!$C$70*AD77</f>
        <v>50.180569999999996</v>
      </c>
      <c r="AE103" s="97">
        <f>Допущения!$C$70*AE77</f>
        <v>51.685987100000006</v>
      </c>
      <c r="AF103" s="97">
        <f>Допущения!$C$70*AF77</f>
        <v>51.685987100000006</v>
      </c>
      <c r="AG103" s="97">
        <f>Допущения!$C$70*AG77</f>
        <v>51.685987100000006</v>
      </c>
      <c r="AH103" s="97">
        <f>Допущения!$C$70*AH77</f>
        <v>51.685987100000006</v>
      </c>
      <c r="AI103" s="97">
        <f>Допущения!$C$70*AI77</f>
        <v>51.685987100000006</v>
      </c>
      <c r="AJ103" s="97">
        <f>Допущения!$C$70*AJ77</f>
        <v>51.685987100000006</v>
      </c>
      <c r="AK103" s="97">
        <f>Допущения!$C$70*AK77</f>
        <v>51.685987100000006</v>
      </c>
      <c r="AL103" s="97">
        <f>Допущения!$C$70*AL77</f>
        <v>51.685987100000006</v>
      </c>
      <c r="AM103" s="97">
        <f>Допущения!$C$70*AM77</f>
        <v>51.685987100000006</v>
      </c>
      <c r="AN103" s="97">
        <f>Допущения!$C$70*AN77</f>
        <v>51.685987100000006</v>
      </c>
      <c r="AO103" s="97">
        <f>Допущения!$C$70*AO77</f>
        <v>51.685987100000006</v>
      </c>
      <c r="AP103" s="97">
        <f>Допущения!$C$70*AP77</f>
        <v>51.685987100000006</v>
      </c>
      <c r="AQ103" s="97">
        <f>Допущения!$C$70*AQ77</f>
        <v>53.236566713000002</v>
      </c>
      <c r="AR103" s="97">
        <f>Допущения!$C$70*AR77</f>
        <v>53.236566713000002</v>
      </c>
      <c r="AS103" s="97">
        <f>Допущения!$C$70*AS77</f>
        <v>53.236566713000002</v>
      </c>
      <c r="AT103" s="97">
        <f>Допущения!$C$70*AT77</f>
        <v>53.236566713000002</v>
      </c>
      <c r="AU103" s="97">
        <f>Допущения!$C$70*AU77</f>
        <v>53.236566713000002</v>
      </c>
      <c r="AV103" s="97">
        <f>Допущения!$C$70*AV77</f>
        <v>53.236566713000002</v>
      </c>
      <c r="AW103" s="97">
        <f>Допущения!$C$70*AW77</f>
        <v>53.236566713000002</v>
      </c>
      <c r="AX103" s="97">
        <f>Допущения!$C$70*AX77</f>
        <v>53.236566713000002</v>
      </c>
      <c r="AY103" s="97">
        <f>Допущения!$C$70*AY77</f>
        <v>53.236566713000002</v>
      </c>
      <c r="AZ103" s="97">
        <f>Допущения!$C$70*AZ77</f>
        <v>53.236566713000002</v>
      </c>
      <c r="BA103" s="97">
        <f>Допущения!$C$70*BA77</f>
        <v>53.236566713000002</v>
      </c>
      <c r="BB103" s="97">
        <f>Допущения!$C$70*BB77</f>
        <v>53.236566713000002</v>
      </c>
      <c r="BC103" s="97">
        <f>Допущения!$C$70*BC77</f>
        <v>54.833663714390006</v>
      </c>
      <c r="BD103" s="97">
        <f>Допущения!$C$70*BD77</f>
        <v>54.833663714390006</v>
      </c>
      <c r="BE103" s="97">
        <f>Допущения!$C$70*BE77</f>
        <v>54.833663714390006</v>
      </c>
      <c r="BF103" s="97">
        <f>Допущения!$C$70*BF77</f>
        <v>54.833663714390006</v>
      </c>
      <c r="BG103" s="97">
        <f>Допущения!$C$70*BG77</f>
        <v>54.833663714390006</v>
      </c>
      <c r="BH103" s="97">
        <f>Допущения!$C$70*BH77</f>
        <v>54.833663714390006</v>
      </c>
      <c r="BI103" s="97">
        <f>Допущения!$C$70*BI77</f>
        <v>54.833663714390006</v>
      </c>
      <c r="BJ103" s="97">
        <f>Допущения!$C$70*BJ77</f>
        <v>54.833663714390006</v>
      </c>
      <c r="BL103" s="25">
        <f t="shared" si="122"/>
        <v>189.2</v>
      </c>
      <c r="BM103" s="25">
        <f t="shared" si="122"/>
        <v>584.62800000000004</v>
      </c>
      <c r="BN103" s="25">
        <f t="shared" si="122"/>
        <v>602.16683999999998</v>
      </c>
      <c r="BO103" s="25">
        <f t="shared" si="122"/>
        <v>620.23184520000029</v>
      </c>
      <c r="BP103" s="25">
        <f t="shared" si="122"/>
        <v>638.83880055600002</v>
      </c>
      <c r="BQ103" s="25">
        <f t="shared" si="122"/>
        <v>438.66930971512005</v>
      </c>
    </row>
    <row r="104" spans="1:69">
      <c r="A104" s="30" t="str">
        <f t="shared" si="119"/>
        <v>Главный бухгалтер</v>
      </c>
      <c r="B104" s="75" t="s">
        <v>251</v>
      </c>
      <c r="C104" s="97">
        <f>Допущения!$C$70*C78</f>
        <v>43</v>
      </c>
      <c r="D104" s="97">
        <f>Допущения!$C$70*D78</f>
        <v>43</v>
      </c>
      <c r="E104" s="97">
        <f>Допущения!$C$70*E78</f>
        <v>43</v>
      </c>
      <c r="F104" s="97">
        <f>Допущения!$C$70*F78</f>
        <v>43</v>
      </c>
      <c r="G104" s="97">
        <f>Допущения!$C$70*G78</f>
        <v>44.29</v>
      </c>
      <c r="H104" s="97">
        <f>Допущения!$C$70*H78</f>
        <v>44.29</v>
      </c>
      <c r="I104" s="97">
        <f>Допущения!$C$70*I78</f>
        <v>44.29</v>
      </c>
      <c r="J104" s="97">
        <f>Допущения!$C$70*J78</f>
        <v>44.29</v>
      </c>
      <c r="K104" s="97">
        <f>Допущения!$C$70*K78</f>
        <v>44.29</v>
      </c>
      <c r="L104" s="97">
        <f>Допущения!$C$70*L78</f>
        <v>44.29</v>
      </c>
      <c r="M104" s="97">
        <f>Допущения!$C$70*M78</f>
        <v>44.29</v>
      </c>
      <c r="N104" s="97">
        <f>Допущения!$C$70*N78</f>
        <v>44.29</v>
      </c>
      <c r="O104" s="97">
        <f>Допущения!$C$70*O78</f>
        <v>44.29</v>
      </c>
      <c r="P104" s="97">
        <f>Допущения!$C$70*P78</f>
        <v>44.29</v>
      </c>
      <c r="Q104" s="97">
        <f>Допущения!$C$70*Q78</f>
        <v>44.29</v>
      </c>
      <c r="R104" s="97">
        <f>Допущения!$C$70*R78</f>
        <v>44.29</v>
      </c>
      <c r="S104" s="97">
        <f>Допущения!$C$70*S78</f>
        <v>45.618700000000004</v>
      </c>
      <c r="T104" s="97">
        <f>Допущения!$C$70*T78</f>
        <v>45.618700000000004</v>
      </c>
      <c r="U104" s="97">
        <f>Допущения!$C$70*U78</f>
        <v>45.618700000000004</v>
      </c>
      <c r="V104" s="97">
        <f>Допущения!$C$70*V78</f>
        <v>45.618700000000004</v>
      </c>
      <c r="W104" s="97">
        <f>Допущения!$C$70*W78</f>
        <v>45.618700000000004</v>
      </c>
      <c r="X104" s="97">
        <f>Допущения!$C$70*X78</f>
        <v>45.618700000000004</v>
      </c>
      <c r="Y104" s="97">
        <f>Допущения!$C$70*Y78</f>
        <v>45.618700000000004</v>
      </c>
      <c r="Z104" s="97">
        <f>Допущения!$C$70*Z78</f>
        <v>45.618700000000004</v>
      </c>
      <c r="AA104" s="97">
        <f>Допущения!$C$70*AA78</f>
        <v>45.618700000000004</v>
      </c>
      <c r="AB104" s="97">
        <f>Допущения!$C$70*AB78</f>
        <v>45.618700000000004</v>
      </c>
      <c r="AC104" s="97">
        <f>Допущения!$C$70*AC78</f>
        <v>45.618700000000004</v>
      </c>
      <c r="AD104" s="97">
        <f>Допущения!$C$70*AD78</f>
        <v>45.618700000000004</v>
      </c>
      <c r="AE104" s="97">
        <f>Допущения!$C$70*AE78</f>
        <v>46.987260999999997</v>
      </c>
      <c r="AF104" s="97">
        <f>Допущения!$C$70*AF78</f>
        <v>46.987260999999997</v>
      </c>
      <c r="AG104" s="97">
        <f>Допущения!$C$70*AG78</f>
        <v>46.987260999999997</v>
      </c>
      <c r="AH104" s="97">
        <f>Допущения!$C$70*AH78</f>
        <v>46.987260999999997</v>
      </c>
      <c r="AI104" s="97">
        <f>Допущения!$C$70*AI78</f>
        <v>46.987260999999997</v>
      </c>
      <c r="AJ104" s="97">
        <f>Допущения!$C$70*AJ78</f>
        <v>46.987260999999997</v>
      </c>
      <c r="AK104" s="97">
        <f>Допущения!$C$70*AK78</f>
        <v>46.987260999999997</v>
      </c>
      <c r="AL104" s="97">
        <f>Допущения!$C$70*AL78</f>
        <v>46.987260999999997</v>
      </c>
      <c r="AM104" s="97">
        <f>Допущения!$C$70*AM78</f>
        <v>46.987260999999997</v>
      </c>
      <c r="AN104" s="97">
        <f>Допущения!$C$70*AN78</f>
        <v>46.987260999999997</v>
      </c>
      <c r="AO104" s="97">
        <f>Допущения!$C$70*AO78</f>
        <v>46.987260999999997</v>
      </c>
      <c r="AP104" s="97">
        <f>Допущения!$C$70*AP78</f>
        <v>46.987260999999997</v>
      </c>
      <c r="AQ104" s="97">
        <f>Допущения!$C$70*AQ78</f>
        <v>48.396878829999999</v>
      </c>
      <c r="AR104" s="97">
        <f>Допущения!$C$70*AR78</f>
        <v>48.396878829999999</v>
      </c>
      <c r="AS104" s="97">
        <f>Допущения!$C$70*AS78</f>
        <v>48.396878829999999</v>
      </c>
      <c r="AT104" s="97">
        <f>Допущения!$C$70*AT78</f>
        <v>48.396878829999999</v>
      </c>
      <c r="AU104" s="97">
        <f>Допущения!$C$70*AU78</f>
        <v>48.396878829999999</v>
      </c>
      <c r="AV104" s="97">
        <f>Допущения!$C$70*AV78</f>
        <v>48.396878829999999</v>
      </c>
      <c r="AW104" s="97">
        <f>Допущения!$C$70*AW78</f>
        <v>48.396878829999999</v>
      </c>
      <c r="AX104" s="97">
        <f>Допущения!$C$70*AX78</f>
        <v>48.396878829999999</v>
      </c>
      <c r="AY104" s="97">
        <f>Допущения!$C$70*AY78</f>
        <v>48.396878829999999</v>
      </c>
      <c r="AZ104" s="97">
        <f>Допущения!$C$70*AZ78</f>
        <v>48.396878829999999</v>
      </c>
      <c r="BA104" s="97">
        <f>Допущения!$C$70*BA78</f>
        <v>48.396878829999999</v>
      </c>
      <c r="BB104" s="97">
        <f>Допущения!$C$70*BB78</f>
        <v>48.396878829999999</v>
      </c>
      <c r="BC104" s="97">
        <f>Допущения!$C$70*BC78</f>
        <v>49.848785194900003</v>
      </c>
      <c r="BD104" s="97">
        <f>Допущения!$C$70*BD78</f>
        <v>49.848785194900003</v>
      </c>
      <c r="BE104" s="97">
        <f>Допущения!$C$70*BE78</f>
        <v>49.848785194900003</v>
      </c>
      <c r="BF104" s="97">
        <f>Допущения!$C$70*BF78</f>
        <v>49.848785194900003</v>
      </c>
      <c r="BG104" s="97">
        <f>Допущения!$C$70*BG78</f>
        <v>49.848785194900003</v>
      </c>
      <c r="BH104" s="97">
        <f>Допущения!$C$70*BH78</f>
        <v>49.848785194900003</v>
      </c>
      <c r="BI104" s="97">
        <f>Допущения!$C$70*BI78</f>
        <v>49.848785194900003</v>
      </c>
      <c r="BJ104" s="97">
        <f>Допущения!$C$70*BJ78</f>
        <v>49.848785194900003</v>
      </c>
      <c r="BL104" s="25">
        <f t="shared" si="122"/>
        <v>172</v>
      </c>
      <c r="BM104" s="25">
        <f t="shared" si="122"/>
        <v>531.48000000000013</v>
      </c>
      <c r="BN104" s="25">
        <f t="shared" si="122"/>
        <v>547.42439999999999</v>
      </c>
      <c r="BO104" s="25">
        <f t="shared" si="122"/>
        <v>563.84713199999999</v>
      </c>
      <c r="BP104" s="25">
        <f t="shared" si="122"/>
        <v>580.76254596000001</v>
      </c>
      <c r="BQ104" s="25">
        <f t="shared" si="122"/>
        <v>398.79028155920008</v>
      </c>
    </row>
    <row r="105" spans="1:69">
      <c r="A105" s="30" t="str">
        <f t="shared" si="119"/>
        <v>Главный технолог</v>
      </c>
      <c r="B105" s="75" t="s">
        <v>251</v>
      </c>
      <c r="C105" s="97">
        <f>Допущения!$C$70*C79</f>
        <v>79.12</v>
      </c>
      <c r="D105" s="97">
        <f>Допущения!$C$70*D79</f>
        <v>79.12</v>
      </c>
      <c r="E105" s="97">
        <f>Допущения!$C$70*E79</f>
        <v>79.12</v>
      </c>
      <c r="F105" s="97">
        <f>Допущения!$C$70*F79</f>
        <v>79.12</v>
      </c>
      <c r="G105" s="97">
        <f>Допущения!$C$70*G79</f>
        <v>81.493600000000001</v>
      </c>
      <c r="H105" s="97">
        <f>Допущения!$C$70*H79</f>
        <v>81.493600000000001</v>
      </c>
      <c r="I105" s="97">
        <f>Допущения!$C$70*I79</f>
        <v>81.493600000000001</v>
      </c>
      <c r="J105" s="97">
        <f>Допущения!$C$70*J79</f>
        <v>81.493600000000001</v>
      </c>
      <c r="K105" s="97">
        <f>Допущения!$C$70*K79</f>
        <v>81.493600000000001</v>
      </c>
      <c r="L105" s="97">
        <f>Допущения!$C$70*L79</f>
        <v>81.493600000000001</v>
      </c>
      <c r="M105" s="97">
        <f>Допущения!$C$70*M79</f>
        <v>81.493600000000001</v>
      </c>
      <c r="N105" s="97">
        <f>Допущения!$C$70*N79</f>
        <v>81.493600000000001</v>
      </c>
      <c r="O105" s="97">
        <f>Допущения!$C$70*O79</f>
        <v>81.493600000000001</v>
      </c>
      <c r="P105" s="97">
        <f>Допущения!$C$70*P79</f>
        <v>81.493600000000001</v>
      </c>
      <c r="Q105" s="97">
        <f>Допущения!$C$70*Q79</f>
        <v>81.493600000000001</v>
      </c>
      <c r="R105" s="97">
        <f>Допущения!$C$70*R79</f>
        <v>81.493600000000001</v>
      </c>
      <c r="S105" s="97">
        <f>Допущения!$C$70*S79</f>
        <v>83.938407999999995</v>
      </c>
      <c r="T105" s="97">
        <f>Допущения!$C$70*T79</f>
        <v>83.938407999999995</v>
      </c>
      <c r="U105" s="97">
        <f>Допущения!$C$70*U79</f>
        <v>83.938407999999995</v>
      </c>
      <c r="V105" s="97">
        <f>Допущения!$C$70*V79</f>
        <v>83.938407999999995</v>
      </c>
      <c r="W105" s="97">
        <f>Допущения!$C$70*W79</f>
        <v>83.938407999999995</v>
      </c>
      <c r="X105" s="97">
        <f>Допущения!$C$70*X79</f>
        <v>83.938407999999995</v>
      </c>
      <c r="Y105" s="97">
        <f>Допущения!$C$70*Y79</f>
        <v>83.938407999999995</v>
      </c>
      <c r="Z105" s="97">
        <f>Допущения!$C$70*Z79</f>
        <v>83.938407999999995</v>
      </c>
      <c r="AA105" s="97">
        <f>Допущения!$C$70*AA79</f>
        <v>83.938407999999995</v>
      </c>
      <c r="AB105" s="97">
        <f>Допущения!$C$70*AB79</f>
        <v>83.938407999999995</v>
      </c>
      <c r="AC105" s="97">
        <f>Допущения!$C$70*AC79</f>
        <v>83.938407999999995</v>
      </c>
      <c r="AD105" s="97">
        <f>Допущения!$C$70*AD79</f>
        <v>83.938407999999995</v>
      </c>
      <c r="AE105" s="97">
        <f>Допущения!$C$70*AE79</f>
        <v>86.456560240000002</v>
      </c>
      <c r="AF105" s="97">
        <f>Допущения!$C$70*AF79</f>
        <v>86.456560240000002</v>
      </c>
      <c r="AG105" s="97">
        <f>Допущения!$C$70*AG79</f>
        <v>86.456560240000002</v>
      </c>
      <c r="AH105" s="97">
        <f>Допущения!$C$70*AH79</f>
        <v>86.456560240000002</v>
      </c>
      <c r="AI105" s="97">
        <f>Допущения!$C$70*AI79</f>
        <v>86.456560240000002</v>
      </c>
      <c r="AJ105" s="97">
        <f>Допущения!$C$70*AJ79</f>
        <v>86.456560240000002</v>
      </c>
      <c r="AK105" s="97">
        <f>Допущения!$C$70*AK79</f>
        <v>86.456560240000002</v>
      </c>
      <c r="AL105" s="97">
        <f>Допущения!$C$70*AL79</f>
        <v>86.456560240000002</v>
      </c>
      <c r="AM105" s="97">
        <f>Допущения!$C$70*AM79</f>
        <v>86.456560240000002</v>
      </c>
      <c r="AN105" s="97">
        <f>Допущения!$C$70*AN79</f>
        <v>86.456560240000002</v>
      </c>
      <c r="AO105" s="97">
        <f>Допущения!$C$70*AO79</f>
        <v>86.456560240000002</v>
      </c>
      <c r="AP105" s="97">
        <f>Допущения!$C$70*AP79</f>
        <v>86.456560240000002</v>
      </c>
      <c r="AQ105" s="97">
        <f>Допущения!$C$70*AQ79</f>
        <v>89.050257047200006</v>
      </c>
      <c r="AR105" s="97">
        <f>Допущения!$C$70*AR79</f>
        <v>89.050257047200006</v>
      </c>
      <c r="AS105" s="97">
        <f>Допущения!$C$70*AS79</f>
        <v>89.050257047200006</v>
      </c>
      <c r="AT105" s="97">
        <f>Допущения!$C$70*AT79</f>
        <v>89.050257047200006</v>
      </c>
      <c r="AU105" s="97">
        <f>Допущения!$C$70*AU79</f>
        <v>89.050257047200006</v>
      </c>
      <c r="AV105" s="97">
        <f>Допущения!$C$70*AV79</f>
        <v>89.050257047200006</v>
      </c>
      <c r="AW105" s="97">
        <f>Допущения!$C$70*AW79</f>
        <v>89.050257047200006</v>
      </c>
      <c r="AX105" s="97">
        <f>Допущения!$C$70*AX79</f>
        <v>89.050257047200006</v>
      </c>
      <c r="AY105" s="97">
        <f>Допущения!$C$70*AY79</f>
        <v>89.050257047200006</v>
      </c>
      <c r="AZ105" s="97">
        <f>Допущения!$C$70*AZ79</f>
        <v>89.050257047200006</v>
      </c>
      <c r="BA105" s="97">
        <f>Допущения!$C$70*BA79</f>
        <v>89.050257047200006</v>
      </c>
      <c r="BB105" s="97">
        <f>Допущения!$C$70*BB79</f>
        <v>89.050257047200006</v>
      </c>
      <c r="BC105" s="97">
        <f>Допущения!$C$70*BC79</f>
        <v>91.721764758616004</v>
      </c>
      <c r="BD105" s="97">
        <f>Допущения!$C$70*BD79</f>
        <v>91.721764758616004</v>
      </c>
      <c r="BE105" s="97">
        <f>Допущения!$C$70*BE79</f>
        <v>91.721764758616004</v>
      </c>
      <c r="BF105" s="97">
        <f>Допущения!$C$70*BF79</f>
        <v>91.721764758616004</v>
      </c>
      <c r="BG105" s="97">
        <f>Допущения!$C$70*BG79</f>
        <v>91.721764758616004</v>
      </c>
      <c r="BH105" s="97">
        <f>Допущения!$C$70*BH79</f>
        <v>91.721764758616004</v>
      </c>
      <c r="BI105" s="97">
        <f>Допущения!$C$70*BI79</f>
        <v>91.721764758616004</v>
      </c>
      <c r="BJ105" s="97">
        <f>Допущения!$C$70*BJ79</f>
        <v>91.721764758616004</v>
      </c>
      <c r="BL105" s="25">
        <f t="shared" si="122"/>
        <v>316.48</v>
      </c>
      <c r="BM105" s="25">
        <f t="shared" si="122"/>
        <v>977.92320000000007</v>
      </c>
      <c r="BN105" s="25">
        <f t="shared" si="122"/>
        <v>1007.2608959999999</v>
      </c>
      <c r="BO105" s="25">
        <f t="shared" si="122"/>
        <v>1037.4787228800003</v>
      </c>
      <c r="BP105" s="25">
        <f t="shared" si="122"/>
        <v>1068.6030845664002</v>
      </c>
      <c r="BQ105" s="25">
        <f t="shared" si="122"/>
        <v>733.77411806892803</v>
      </c>
    </row>
    <row r="106" spans="1:69">
      <c r="A106" s="30" t="str">
        <f t="shared" si="119"/>
        <v>Начальник ОТК/Ветеринарный врач</v>
      </c>
      <c r="B106" s="75" t="s">
        <v>251</v>
      </c>
      <c r="C106" s="97">
        <f>Допущения!$C$70*C80</f>
        <v>81.27</v>
      </c>
      <c r="D106" s="97">
        <f>Допущения!$C$70*D80</f>
        <v>81.27</v>
      </c>
      <c r="E106" s="97">
        <f>Допущения!$C$70*E80</f>
        <v>81.27</v>
      </c>
      <c r="F106" s="97">
        <f>Допущения!$C$70*F80</f>
        <v>81.27</v>
      </c>
      <c r="G106" s="97">
        <f>Допущения!$C$70*G80</f>
        <v>83.708099999999988</v>
      </c>
      <c r="H106" s="97">
        <f>Допущения!$C$70*H80</f>
        <v>83.708099999999988</v>
      </c>
      <c r="I106" s="97">
        <f>Допущения!$C$70*I80</f>
        <v>83.708099999999988</v>
      </c>
      <c r="J106" s="97">
        <f>Допущения!$C$70*J80</f>
        <v>83.708099999999988</v>
      </c>
      <c r="K106" s="97">
        <f>Допущения!$C$70*K80</f>
        <v>83.708099999999988</v>
      </c>
      <c r="L106" s="97">
        <f>Допущения!$C$70*L80</f>
        <v>83.708099999999988</v>
      </c>
      <c r="M106" s="97">
        <f>Допущения!$C$70*M80</f>
        <v>83.708099999999988</v>
      </c>
      <c r="N106" s="97">
        <f>Допущения!$C$70*N80</f>
        <v>83.708099999999988</v>
      </c>
      <c r="O106" s="97">
        <f>Допущения!$C$70*O80</f>
        <v>83.708099999999988</v>
      </c>
      <c r="P106" s="97">
        <f>Допущения!$C$70*P80</f>
        <v>83.708099999999988</v>
      </c>
      <c r="Q106" s="97">
        <f>Допущения!$C$70*Q80</f>
        <v>83.708099999999988</v>
      </c>
      <c r="R106" s="97">
        <f>Допущения!$C$70*R80</f>
        <v>83.708099999999988</v>
      </c>
      <c r="S106" s="97">
        <f>Допущения!$C$70*S80</f>
        <v>86.219342999999981</v>
      </c>
      <c r="T106" s="97">
        <f>Допущения!$C$70*T80</f>
        <v>86.219342999999981</v>
      </c>
      <c r="U106" s="97">
        <f>Допущения!$C$70*U80</f>
        <v>86.219342999999981</v>
      </c>
      <c r="V106" s="97">
        <f>Допущения!$C$70*V80</f>
        <v>86.219342999999981</v>
      </c>
      <c r="W106" s="97">
        <f>Допущения!$C$70*W80</f>
        <v>86.219342999999981</v>
      </c>
      <c r="X106" s="97">
        <f>Допущения!$C$70*X80</f>
        <v>86.219342999999981</v>
      </c>
      <c r="Y106" s="97">
        <f>Допущения!$C$70*Y80</f>
        <v>86.219342999999981</v>
      </c>
      <c r="Z106" s="97">
        <f>Допущения!$C$70*Z80</f>
        <v>86.219342999999981</v>
      </c>
      <c r="AA106" s="97">
        <f>Допущения!$C$70*AA80</f>
        <v>86.219342999999981</v>
      </c>
      <c r="AB106" s="97">
        <f>Допущения!$C$70*AB80</f>
        <v>86.219342999999981</v>
      </c>
      <c r="AC106" s="97">
        <f>Допущения!$C$70*AC80</f>
        <v>86.219342999999981</v>
      </c>
      <c r="AD106" s="97">
        <f>Допущения!$C$70*AD80</f>
        <v>86.219342999999981</v>
      </c>
      <c r="AE106" s="97">
        <f>Допущения!$C$70*AE80</f>
        <v>88.80592329000001</v>
      </c>
      <c r="AF106" s="97">
        <f>Допущения!$C$70*AF80</f>
        <v>88.80592329000001</v>
      </c>
      <c r="AG106" s="97">
        <f>Допущения!$C$70*AG80</f>
        <v>88.80592329000001</v>
      </c>
      <c r="AH106" s="97">
        <f>Допущения!$C$70*AH80</f>
        <v>88.80592329000001</v>
      </c>
      <c r="AI106" s="97">
        <f>Допущения!$C$70*AI80</f>
        <v>88.80592329000001</v>
      </c>
      <c r="AJ106" s="97">
        <f>Допущения!$C$70*AJ80</f>
        <v>88.80592329000001</v>
      </c>
      <c r="AK106" s="97">
        <f>Допущения!$C$70*AK80</f>
        <v>88.80592329000001</v>
      </c>
      <c r="AL106" s="97">
        <f>Допущения!$C$70*AL80</f>
        <v>88.80592329000001</v>
      </c>
      <c r="AM106" s="97">
        <f>Допущения!$C$70*AM80</f>
        <v>88.80592329000001</v>
      </c>
      <c r="AN106" s="97">
        <f>Допущения!$C$70*AN80</f>
        <v>88.80592329000001</v>
      </c>
      <c r="AO106" s="97">
        <f>Допущения!$C$70*AO80</f>
        <v>88.80592329000001</v>
      </c>
      <c r="AP106" s="97">
        <f>Допущения!$C$70*AP80</f>
        <v>88.80592329000001</v>
      </c>
      <c r="AQ106" s="97">
        <f>Допущения!$C$70*AQ80</f>
        <v>91.470100988700011</v>
      </c>
      <c r="AR106" s="97">
        <f>Допущения!$C$70*AR80</f>
        <v>91.470100988700011</v>
      </c>
      <c r="AS106" s="97">
        <f>Допущения!$C$70*AS80</f>
        <v>91.470100988700011</v>
      </c>
      <c r="AT106" s="97">
        <f>Допущения!$C$70*AT80</f>
        <v>91.470100988700011</v>
      </c>
      <c r="AU106" s="97">
        <f>Допущения!$C$70*AU80</f>
        <v>91.470100988700011</v>
      </c>
      <c r="AV106" s="97">
        <f>Допущения!$C$70*AV80</f>
        <v>91.470100988700011</v>
      </c>
      <c r="AW106" s="97">
        <f>Допущения!$C$70*AW80</f>
        <v>91.470100988700011</v>
      </c>
      <c r="AX106" s="97">
        <f>Допущения!$C$70*AX80</f>
        <v>91.470100988700011</v>
      </c>
      <c r="AY106" s="97">
        <f>Допущения!$C$70*AY80</f>
        <v>91.470100988700011</v>
      </c>
      <c r="AZ106" s="97">
        <f>Допущения!$C$70*AZ80</f>
        <v>91.470100988700011</v>
      </c>
      <c r="BA106" s="97">
        <f>Допущения!$C$70*BA80</f>
        <v>91.470100988700011</v>
      </c>
      <c r="BB106" s="97">
        <f>Допущения!$C$70*BB80</f>
        <v>91.470100988700011</v>
      </c>
      <c r="BC106" s="97">
        <f>Допущения!$C$70*BC80</f>
        <v>94.214204018361002</v>
      </c>
      <c r="BD106" s="97">
        <f>Допущения!$C$70*BD80</f>
        <v>94.214204018361002</v>
      </c>
      <c r="BE106" s="97">
        <f>Допущения!$C$70*BE80</f>
        <v>94.214204018361002</v>
      </c>
      <c r="BF106" s="97">
        <f>Допущения!$C$70*BF80</f>
        <v>94.214204018361002</v>
      </c>
      <c r="BG106" s="97">
        <f>Допущения!$C$70*BG80</f>
        <v>94.214204018361002</v>
      </c>
      <c r="BH106" s="97">
        <f>Допущения!$C$70*BH80</f>
        <v>94.214204018361002</v>
      </c>
      <c r="BI106" s="97">
        <f>Допущения!$C$70*BI80</f>
        <v>94.214204018361002</v>
      </c>
      <c r="BJ106" s="97">
        <f>Допущения!$C$70*BJ80</f>
        <v>94.214204018361002</v>
      </c>
      <c r="BL106" s="25">
        <f t="shared" si="122"/>
        <v>325.08</v>
      </c>
      <c r="BM106" s="25">
        <f t="shared" si="122"/>
        <v>1004.4971999999997</v>
      </c>
      <c r="BN106" s="25">
        <f t="shared" si="122"/>
        <v>1034.6321159999998</v>
      </c>
      <c r="BO106" s="25">
        <f t="shared" si="122"/>
        <v>1065.6710794800001</v>
      </c>
      <c r="BP106" s="25">
        <f t="shared" si="122"/>
        <v>1097.6412118644</v>
      </c>
      <c r="BQ106" s="25">
        <f t="shared" si="122"/>
        <v>753.71363214688802</v>
      </c>
    </row>
    <row r="107" spans="1:69">
      <c r="A107" s="30" t="str">
        <f t="shared" si="119"/>
        <v>Начальник смены</v>
      </c>
      <c r="B107" s="75" t="s">
        <v>251</v>
      </c>
      <c r="C107" s="97">
        <f>Допущения!$C$70*C81</f>
        <v>122.12</v>
      </c>
      <c r="D107" s="97">
        <f>Допущения!$C$70*D81</f>
        <v>122.12</v>
      </c>
      <c r="E107" s="97">
        <f>Допущения!$C$70*E81</f>
        <v>122.12</v>
      </c>
      <c r="F107" s="97">
        <f>Допущения!$C$70*F81</f>
        <v>122.12</v>
      </c>
      <c r="G107" s="97">
        <f>Допущения!$C$70*G81</f>
        <v>125.78359999999999</v>
      </c>
      <c r="H107" s="97">
        <f>Допущения!$C$70*H81</f>
        <v>125.78359999999999</v>
      </c>
      <c r="I107" s="97">
        <f>Допущения!$C$70*I81</f>
        <v>125.78359999999999</v>
      </c>
      <c r="J107" s="97">
        <f>Допущения!$C$70*J81</f>
        <v>125.78359999999999</v>
      </c>
      <c r="K107" s="97">
        <f>Допущения!$C$70*K81</f>
        <v>125.78359999999999</v>
      </c>
      <c r="L107" s="97">
        <f>Допущения!$C$70*L81</f>
        <v>125.78359999999999</v>
      </c>
      <c r="M107" s="97">
        <f>Допущения!$C$70*M81</f>
        <v>125.78359999999999</v>
      </c>
      <c r="N107" s="97">
        <f>Допущения!$C$70*N81</f>
        <v>125.78359999999999</v>
      </c>
      <c r="O107" s="97">
        <f>Допущения!$C$70*O81</f>
        <v>125.78359999999999</v>
      </c>
      <c r="P107" s="97">
        <f>Допущения!$C$70*P81</f>
        <v>125.78359999999999</v>
      </c>
      <c r="Q107" s="97">
        <f>Допущения!$C$70*Q81</f>
        <v>125.78359999999999</v>
      </c>
      <c r="R107" s="97">
        <f>Допущения!$C$70*R81</f>
        <v>125.78359999999999</v>
      </c>
      <c r="S107" s="97">
        <f>Допущения!$C$70*S81</f>
        <v>129.557108</v>
      </c>
      <c r="T107" s="97">
        <f>Допущения!$C$70*T81</f>
        <v>129.557108</v>
      </c>
      <c r="U107" s="97">
        <f>Допущения!$C$70*U81</f>
        <v>129.557108</v>
      </c>
      <c r="V107" s="97">
        <f>Допущения!$C$70*V81</f>
        <v>129.557108</v>
      </c>
      <c r="W107" s="97">
        <f>Допущения!$C$70*W81</f>
        <v>129.557108</v>
      </c>
      <c r="X107" s="97">
        <f>Допущения!$C$70*X81</f>
        <v>129.557108</v>
      </c>
      <c r="Y107" s="97">
        <f>Допущения!$C$70*Y81</f>
        <v>129.557108</v>
      </c>
      <c r="Z107" s="97">
        <f>Допущения!$C$70*Z81</f>
        <v>129.557108</v>
      </c>
      <c r="AA107" s="97">
        <f>Допущения!$C$70*AA81</f>
        <v>129.557108</v>
      </c>
      <c r="AB107" s="97">
        <f>Допущения!$C$70*AB81</f>
        <v>129.557108</v>
      </c>
      <c r="AC107" s="97">
        <f>Допущения!$C$70*AC81</f>
        <v>129.557108</v>
      </c>
      <c r="AD107" s="97">
        <f>Допущения!$C$70*AD81</f>
        <v>129.557108</v>
      </c>
      <c r="AE107" s="97">
        <f>Допущения!$C$70*AE81</f>
        <v>133.44382124000001</v>
      </c>
      <c r="AF107" s="97">
        <f>Допущения!$C$70*AF81</f>
        <v>133.44382124000001</v>
      </c>
      <c r="AG107" s="97">
        <f>Допущения!$C$70*AG81</f>
        <v>133.44382124000001</v>
      </c>
      <c r="AH107" s="97">
        <f>Допущения!$C$70*AH81</f>
        <v>133.44382124000001</v>
      </c>
      <c r="AI107" s="97">
        <f>Допущения!$C$70*AI81</f>
        <v>133.44382124000001</v>
      </c>
      <c r="AJ107" s="97">
        <f>Допущения!$C$70*AJ81</f>
        <v>133.44382124000001</v>
      </c>
      <c r="AK107" s="97">
        <f>Допущения!$C$70*AK81</f>
        <v>133.44382124000001</v>
      </c>
      <c r="AL107" s="97">
        <f>Допущения!$C$70*AL81</f>
        <v>133.44382124000001</v>
      </c>
      <c r="AM107" s="97">
        <f>Допущения!$C$70*AM81</f>
        <v>133.44382124000001</v>
      </c>
      <c r="AN107" s="97">
        <f>Допущения!$C$70*AN81</f>
        <v>133.44382124000001</v>
      </c>
      <c r="AO107" s="97">
        <f>Допущения!$C$70*AO81</f>
        <v>133.44382124000001</v>
      </c>
      <c r="AP107" s="97">
        <f>Допущения!$C$70*AP81</f>
        <v>133.44382124000001</v>
      </c>
      <c r="AQ107" s="97">
        <f>Допущения!$C$70*AQ81</f>
        <v>137.44713587720003</v>
      </c>
      <c r="AR107" s="97">
        <f>Допущения!$C$70*AR81</f>
        <v>137.44713587720003</v>
      </c>
      <c r="AS107" s="97">
        <f>Допущения!$C$70*AS81</f>
        <v>137.44713587720003</v>
      </c>
      <c r="AT107" s="97">
        <f>Допущения!$C$70*AT81</f>
        <v>137.44713587720003</v>
      </c>
      <c r="AU107" s="97">
        <f>Допущения!$C$70*AU81</f>
        <v>137.44713587720003</v>
      </c>
      <c r="AV107" s="97">
        <f>Допущения!$C$70*AV81</f>
        <v>137.44713587720003</v>
      </c>
      <c r="AW107" s="97">
        <f>Допущения!$C$70*AW81</f>
        <v>137.44713587720003</v>
      </c>
      <c r="AX107" s="97">
        <f>Допущения!$C$70*AX81</f>
        <v>137.44713587720003</v>
      </c>
      <c r="AY107" s="97">
        <f>Допущения!$C$70*AY81</f>
        <v>137.44713587720003</v>
      </c>
      <c r="AZ107" s="97">
        <f>Допущения!$C$70*AZ81</f>
        <v>137.44713587720003</v>
      </c>
      <c r="BA107" s="97">
        <f>Допущения!$C$70*BA81</f>
        <v>137.44713587720003</v>
      </c>
      <c r="BB107" s="97">
        <f>Допущения!$C$70*BB81</f>
        <v>137.44713587720003</v>
      </c>
      <c r="BC107" s="97">
        <f>Допущения!$C$70*BC81</f>
        <v>141.57054995351601</v>
      </c>
      <c r="BD107" s="97">
        <f>Допущения!$C$70*BD81</f>
        <v>141.57054995351601</v>
      </c>
      <c r="BE107" s="97">
        <f>Допущения!$C$70*BE81</f>
        <v>141.57054995351601</v>
      </c>
      <c r="BF107" s="97">
        <f>Допущения!$C$70*BF81</f>
        <v>141.57054995351601</v>
      </c>
      <c r="BG107" s="97">
        <f>Допущения!$C$70*BG81</f>
        <v>141.57054995351601</v>
      </c>
      <c r="BH107" s="97">
        <f>Допущения!$C$70*BH81</f>
        <v>141.57054995351601</v>
      </c>
      <c r="BI107" s="97">
        <f>Допущения!$C$70*BI81</f>
        <v>141.57054995351601</v>
      </c>
      <c r="BJ107" s="97">
        <f>Допущения!$C$70*BJ81</f>
        <v>141.57054995351601</v>
      </c>
      <c r="BL107" s="25">
        <f t="shared" si="122"/>
        <v>488.48</v>
      </c>
      <c r="BM107" s="25">
        <f t="shared" si="122"/>
        <v>1509.4032</v>
      </c>
      <c r="BN107" s="25">
        <f t="shared" si="122"/>
        <v>1554.6852959999999</v>
      </c>
      <c r="BO107" s="25">
        <f t="shared" si="122"/>
        <v>1601.3258548800002</v>
      </c>
      <c r="BP107" s="25">
        <f t="shared" si="122"/>
        <v>1649.3656305264003</v>
      </c>
      <c r="BQ107" s="25">
        <f t="shared" si="122"/>
        <v>1132.5643996281281</v>
      </c>
    </row>
    <row r="108" spans="1:69">
      <c r="A108" s="30" t="str">
        <f t="shared" si="119"/>
        <v>Бухгалтер</v>
      </c>
      <c r="B108" s="75" t="s">
        <v>251</v>
      </c>
      <c r="C108" s="97">
        <f>Допущения!$C$70*C82</f>
        <v>55.9</v>
      </c>
      <c r="D108" s="97">
        <f>Допущения!$C$70*D82</f>
        <v>55.9</v>
      </c>
      <c r="E108" s="97">
        <f>Допущения!$C$70*E82</f>
        <v>55.9</v>
      </c>
      <c r="F108" s="97">
        <f>Допущения!$C$70*F82</f>
        <v>55.9</v>
      </c>
      <c r="G108" s="97">
        <f>Допущения!$C$70*G82</f>
        <v>57.576999999999998</v>
      </c>
      <c r="H108" s="97">
        <f>Допущения!$C$70*H82</f>
        <v>57.576999999999998</v>
      </c>
      <c r="I108" s="97">
        <f>Допущения!$C$70*I82</f>
        <v>57.576999999999998</v>
      </c>
      <c r="J108" s="97">
        <f>Допущения!$C$70*J82</f>
        <v>57.576999999999998</v>
      </c>
      <c r="K108" s="97">
        <f>Допущения!$C$70*K82</f>
        <v>57.576999999999998</v>
      </c>
      <c r="L108" s="97">
        <f>Допущения!$C$70*L82</f>
        <v>57.576999999999998</v>
      </c>
      <c r="M108" s="97">
        <f>Допущения!$C$70*M82</f>
        <v>57.576999999999998</v>
      </c>
      <c r="N108" s="97">
        <f>Допущения!$C$70*N82</f>
        <v>57.576999999999998</v>
      </c>
      <c r="O108" s="97">
        <f>Допущения!$C$70*O82</f>
        <v>57.576999999999998</v>
      </c>
      <c r="P108" s="97">
        <f>Допущения!$C$70*P82</f>
        <v>57.576999999999998</v>
      </c>
      <c r="Q108" s="97">
        <f>Допущения!$C$70*Q82</f>
        <v>57.576999999999998</v>
      </c>
      <c r="R108" s="97">
        <f>Допущения!$C$70*R82</f>
        <v>57.576999999999998</v>
      </c>
      <c r="S108" s="97">
        <f>Допущения!$C$70*S82</f>
        <v>59.304310000000001</v>
      </c>
      <c r="T108" s="97">
        <f>Допущения!$C$70*T82</f>
        <v>59.304310000000001</v>
      </c>
      <c r="U108" s="97">
        <f>Допущения!$C$70*U82</f>
        <v>59.304310000000001</v>
      </c>
      <c r="V108" s="97">
        <f>Допущения!$C$70*V82</f>
        <v>59.304310000000001</v>
      </c>
      <c r="W108" s="97">
        <f>Допущения!$C$70*W82</f>
        <v>59.304310000000001</v>
      </c>
      <c r="X108" s="97">
        <f>Допущения!$C$70*X82</f>
        <v>59.304310000000001</v>
      </c>
      <c r="Y108" s="97">
        <f>Допущения!$C$70*Y82</f>
        <v>59.304310000000001</v>
      </c>
      <c r="Z108" s="97">
        <f>Допущения!$C$70*Z82</f>
        <v>59.304310000000001</v>
      </c>
      <c r="AA108" s="97">
        <f>Допущения!$C$70*AA82</f>
        <v>59.304310000000001</v>
      </c>
      <c r="AB108" s="97">
        <f>Допущения!$C$70*AB82</f>
        <v>59.304310000000001</v>
      </c>
      <c r="AC108" s="97">
        <f>Допущения!$C$70*AC82</f>
        <v>59.304310000000001</v>
      </c>
      <c r="AD108" s="97">
        <f>Допущения!$C$70*AD82</f>
        <v>59.304310000000001</v>
      </c>
      <c r="AE108" s="97">
        <f>Допущения!$C$70*AE82</f>
        <v>61.083439300000009</v>
      </c>
      <c r="AF108" s="97">
        <f>Допущения!$C$70*AF82</f>
        <v>61.083439300000009</v>
      </c>
      <c r="AG108" s="97">
        <f>Допущения!$C$70*AG82</f>
        <v>61.083439300000009</v>
      </c>
      <c r="AH108" s="97">
        <f>Допущения!$C$70*AH82</f>
        <v>61.083439300000009</v>
      </c>
      <c r="AI108" s="97">
        <f>Допущения!$C$70*AI82</f>
        <v>61.083439300000009</v>
      </c>
      <c r="AJ108" s="97">
        <f>Допущения!$C$70*AJ82</f>
        <v>61.083439300000009</v>
      </c>
      <c r="AK108" s="97">
        <f>Допущения!$C$70*AK82</f>
        <v>61.083439300000009</v>
      </c>
      <c r="AL108" s="97">
        <f>Допущения!$C$70*AL82</f>
        <v>61.083439300000009</v>
      </c>
      <c r="AM108" s="97">
        <f>Допущения!$C$70*AM82</f>
        <v>61.083439300000009</v>
      </c>
      <c r="AN108" s="97">
        <f>Допущения!$C$70*AN82</f>
        <v>61.083439300000009</v>
      </c>
      <c r="AO108" s="97">
        <f>Допущения!$C$70*AO82</f>
        <v>61.083439300000009</v>
      </c>
      <c r="AP108" s="97">
        <f>Допущения!$C$70*AP82</f>
        <v>61.083439300000009</v>
      </c>
      <c r="AQ108" s="97">
        <f>Допущения!$C$70*AQ82</f>
        <v>62.915942479000009</v>
      </c>
      <c r="AR108" s="97">
        <f>Допущения!$C$70*AR82</f>
        <v>62.915942479000009</v>
      </c>
      <c r="AS108" s="97">
        <f>Допущения!$C$70*AS82</f>
        <v>62.915942479000009</v>
      </c>
      <c r="AT108" s="97">
        <f>Допущения!$C$70*AT82</f>
        <v>62.915942479000009</v>
      </c>
      <c r="AU108" s="97">
        <f>Допущения!$C$70*AU82</f>
        <v>62.915942479000009</v>
      </c>
      <c r="AV108" s="97">
        <f>Допущения!$C$70*AV82</f>
        <v>62.915942479000009</v>
      </c>
      <c r="AW108" s="97">
        <f>Допущения!$C$70*AW82</f>
        <v>62.915942479000009</v>
      </c>
      <c r="AX108" s="97">
        <f>Допущения!$C$70*AX82</f>
        <v>62.915942479000009</v>
      </c>
      <c r="AY108" s="97">
        <f>Допущения!$C$70*AY82</f>
        <v>62.915942479000009</v>
      </c>
      <c r="AZ108" s="97">
        <f>Допущения!$C$70*AZ82</f>
        <v>62.915942479000009</v>
      </c>
      <c r="BA108" s="97">
        <f>Допущения!$C$70*BA82</f>
        <v>62.915942479000009</v>
      </c>
      <c r="BB108" s="97">
        <f>Допущения!$C$70*BB82</f>
        <v>62.915942479000009</v>
      </c>
      <c r="BC108" s="97">
        <f>Допущения!$C$70*BC82</f>
        <v>64.803420753370006</v>
      </c>
      <c r="BD108" s="97">
        <f>Допущения!$C$70*BD82</f>
        <v>64.803420753370006</v>
      </c>
      <c r="BE108" s="97">
        <f>Допущения!$C$70*BE82</f>
        <v>64.803420753370006</v>
      </c>
      <c r="BF108" s="97">
        <f>Допущения!$C$70*BF82</f>
        <v>64.803420753370006</v>
      </c>
      <c r="BG108" s="97">
        <f>Допущения!$C$70*BG82</f>
        <v>64.803420753370006</v>
      </c>
      <c r="BH108" s="97">
        <f>Допущения!$C$70*BH82</f>
        <v>64.803420753370006</v>
      </c>
      <c r="BI108" s="97">
        <f>Допущения!$C$70*BI82</f>
        <v>64.803420753370006</v>
      </c>
      <c r="BJ108" s="97">
        <f>Допущения!$C$70*BJ82</f>
        <v>64.803420753370006</v>
      </c>
      <c r="BL108" s="25">
        <f t="shared" si="122"/>
        <v>223.6</v>
      </c>
      <c r="BM108" s="25">
        <f t="shared" si="122"/>
        <v>690.92399999999998</v>
      </c>
      <c r="BN108" s="25">
        <f t="shared" si="122"/>
        <v>711.65171999999995</v>
      </c>
      <c r="BO108" s="25">
        <f t="shared" si="122"/>
        <v>733.00127160000011</v>
      </c>
      <c r="BP108" s="25">
        <f t="shared" si="122"/>
        <v>754.99130974800016</v>
      </c>
      <c r="BQ108" s="25">
        <f t="shared" si="122"/>
        <v>518.42736602696004</v>
      </c>
    </row>
    <row r="109" spans="1:69">
      <c r="A109" s="18" t="s">
        <v>11</v>
      </c>
      <c r="B109" s="54" t="s">
        <v>250</v>
      </c>
      <c r="C109" s="98">
        <f t="shared" ref="C109:AH109" si="123">C86+C97+C101</f>
        <v>494.92999999999995</v>
      </c>
      <c r="D109" s="98">
        <f t="shared" si="123"/>
        <v>494.92999999999995</v>
      </c>
      <c r="E109" s="98">
        <f t="shared" si="123"/>
        <v>494.92999999999995</v>
      </c>
      <c r="F109" s="98">
        <f t="shared" si="123"/>
        <v>3045.2599999999998</v>
      </c>
      <c r="G109" s="98">
        <f t="shared" si="123"/>
        <v>3136.6178</v>
      </c>
      <c r="H109" s="98">
        <f t="shared" si="123"/>
        <v>3136.6178</v>
      </c>
      <c r="I109" s="98">
        <f t="shared" si="123"/>
        <v>3136.6178</v>
      </c>
      <c r="J109" s="98">
        <f t="shared" si="123"/>
        <v>3136.6178</v>
      </c>
      <c r="K109" s="98">
        <f t="shared" si="123"/>
        <v>3136.6178</v>
      </c>
      <c r="L109" s="98">
        <f t="shared" si="123"/>
        <v>3136.6178</v>
      </c>
      <c r="M109" s="98">
        <f t="shared" si="123"/>
        <v>3136.6178</v>
      </c>
      <c r="N109" s="98">
        <f t="shared" si="123"/>
        <v>3136.6178</v>
      </c>
      <c r="O109" s="98">
        <f t="shared" si="123"/>
        <v>3136.6178</v>
      </c>
      <c r="P109" s="98">
        <f t="shared" si="123"/>
        <v>3136.6178</v>
      </c>
      <c r="Q109" s="98">
        <f t="shared" si="123"/>
        <v>3136.6178</v>
      </c>
      <c r="R109" s="98">
        <f t="shared" si="123"/>
        <v>3136.6178</v>
      </c>
      <c r="S109" s="98">
        <f t="shared" si="123"/>
        <v>3230.7163339999997</v>
      </c>
      <c r="T109" s="98">
        <f t="shared" si="123"/>
        <v>3230.7163339999997</v>
      </c>
      <c r="U109" s="98">
        <f t="shared" si="123"/>
        <v>3230.7163339999997</v>
      </c>
      <c r="V109" s="98">
        <f t="shared" si="123"/>
        <v>3230.7163339999997</v>
      </c>
      <c r="W109" s="98">
        <f t="shared" si="123"/>
        <v>3230.7163339999997</v>
      </c>
      <c r="X109" s="98">
        <f t="shared" si="123"/>
        <v>3230.7163339999997</v>
      </c>
      <c r="Y109" s="98">
        <f t="shared" si="123"/>
        <v>3230.7163339999997</v>
      </c>
      <c r="Z109" s="98">
        <f t="shared" si="123"/>
        <v>3230.7163339999997</v>
      </c>
      <c r="AA109" s="98">
        <f t="shared" si="123"/>
        <v>3230.7163339999997</v>
      </c>
      <c r="AB109" s="98">
        <f t="shared" si="123"/>
        <v>3230.7163339999997</v>
      </c>
      <c r="AC109" s="98">
        <f t="shared" si="123"/>
        <v>3230.7163339999997</v>
      </c>
      <c r="AD109" s="98">
        <f t="shared" si="123"/>
        <v>3230.7163339999997</v>
      </c>
      <c r="AE109" s="98">
        <f t="shared" si="123"/>
        <v>3327.6378240200002</v>
      </c>
      <c r="AF109" s="98">
        <f t="shared" si="123"/>
        <v>3327.6378240200002</v>
      </c>
      <c r="AG109" s="98">
        <f t="shared" si="123"/>
        <v>3327.6378240200002</v>
      </c>
      <c r="AH109" s="98">
        <f t="shared" si="123"/>
        <v>3327.6378240200002</v>
      </c>
      <c r="AI109" s="98">
        <f t="shared" ref="AI109:BJ109" si="124">AI86+AI97+AI101</f>
        <v>3327.6378240200002</v>
      </c>
      <c r="AJ109" s="98">
        <f t="shared" si="124"/>
        <v>3327.6378240200002</v>
      </c>
      <c r="AK109" s="98">
        <f t="shared" si="124"/>
        <v>3327.6378240200002</v>
      </c>
      <c r="AL109" s="98">
        <f t="shared" si="124"/>
        <v>3327.6378240200002</v>
      </c>
      <c r="AM109" s="98">
        <f t="shared" si="124"/>
        <v>3327.6378240200002</v>
      </c>
      <c r="AN109" s="98">
        <f t="shared" si="124"/>
        <v>3327.6378240200002</v>
      </c>
      <c r="AO109" s="98">
        <f t="shared" si="124"/>
        <v>3327.6378240200002</v>
      </c>
      <c r="AP109" s="98">
        <f t="shared" si="124"/>
        <v>3327.6378240200002</v>
      </c>
      <c r="AQ109" s="98">
        <f t="shared" si="124"/>
        <v>3427.4669587406001</v>
      </c>
      <c r="AR109" s="98">
        <f t="shared" si="124"/>
        <v>3427.4669587406001</v>
      </c>
      <c r="AS109" s="98">
        <f t="shared" si="124"/>
        <v>3427.4669587406001</v>
      </c>
      <c r="AT109" s="98">
        <f t="shared" si="124"/>
        <v>3427.4669587406001</v>
      </c>
      <c r="AU109" s="98">
        <f t="shared" si="124"/>
        <v>3427.4669587406001</v>
      </c>
      <c r="AV109" s="98">
        <f t="shared" si="124"/>
        <v>3427.4669587406001</v>
      </c>
      <c r="AW109" s="98">
        <f t="shared" si="124"/>
        <v>3427.4669587406001</v>
      </c>
      <c r="AX109" s="98">
        <f t="shared" si="124"/>
        <v>3427.4669587406001</v>
      </c>
      <c r="AY109" s="98">
        <f t="shared" si="124"/>
        <v>3427.4669587406001</v>
      </c>
      <c r="AZ109" s="98">
        <f t="shared" si="124"/>
        <v>3427.4669587406001</v>
      </c>
      <c r="BA109" s="98">
        <f t="shared" si="124"/>
        <v>3427.4669587406001</v>
      </c>
      <c r="BB109" s="98">
        <f t="shared" si="124"/>
        <v>3427.4669587406001</v>
      </c>
      <c r="BC109" s="98">
        <f t="shared" si="124"/>
        <v>3530.2909675028177</v>
      </c>
      <c r="BD109" s="98">
        <f t="shared" si="124"/>
        <v>3530.2909675028177</v>
      </c>
      <c r="BE109" s="98">
        <f t="shared" si="124"/>
        <v>3530.2909675028177</v>
      </c>
      <c r="BF109" s="98">
        <f t="shared" si="124"/>
        <v>3530.2909675028177</v>
      </c>
      <c r="BG109" s="98">
        <f t="shared" si="124"/>
        <v>3530.2909675028177</v>
      </c>
      <c r="BH109" s="98">
        <f t="shared" si="124"/>
        <v>3530.2909675028177</v>
      </c>
      <c r="BI109" s="98">
        <f t="shared" si="124"/>
        <v>3530.2909675028177</v>
      </c>
      <c r="BJ109" s="98">
        <f t="shared" si="124"/>
        <v>3530.2909675028177</v>
      </c>
      <c r="BL109" s="24">
        <f t="shared" ref="BL109:BQ109" si="125">SUMIF($C$2:$BJ$2,BL$2,$C109:$BJ109)</f>
        <v>4530.0499999999993</v>
      </c>
      <c r="BM109" s="24">
        <f t="shared" si="125"/>
        <v>37639.4136</v>
      </c>
      <c r="BN109" s="24">
        <f t="shared" si="125"/>
        <v>38768.596008</v>
      </c>
      <c r="BO109" s="24">
        <f t="shared" si="125"/>
        <v>39931.653888239998</v>
      </c>
      <c r="BP109" s="24">
        <f t="shared" si="125"/>
        <v>41129.6035048872</v>
      </c>
      <c r="BQ109" s="24">
        <f t="shared" si="125"/>
        <v>28242.327740022538</v>
      </c>
    </row>
    <row r="110" spans="1:69">
      <c r="A110" s="55"/>
    </row>
    <row r="111" spans="1:69">
      <c r="A111" s="18" t="s">
        <v>152</v>
      </c>
      <c r="B111" s="22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L111" s="19">
        <f t="shared" ref="BL111:BQ111" si="126">BL2</f>
        <v>2025</v>
      </c>
      <c r="BM111" s="19">
        <f t="shared" si="126"/>
        <v>2026</v>
      </c>
      <c r="BN111" s="19">
        <f t="shared" si="126"/>
        <v>2027</v>
      </c>
      <c r="BO111" s="19">
        <f t="shared" si="126"/>
        <v>2028</v>
      </c>
      <c r="BP111" s="19">
        <f t="shared" si="126"/>
        <v>2029</v>
      </c>
      <c r="BQ111" s="19">
        <f t="shared" si="126"/>
        <v>2030</v>
      </c>
    </row>
    <row r="112" spans="1:69">
      <c r="A112" s="145" t="s">
        <v>157</v>
      </c>
      <c r="B112" s="31"/>
      <c r="C112" s="156">
        <f t="shared" ref="C112:L113" si="127">SUMIF($BL$2:$BQ$2,C$2,$BL112:$BQ112)</f>
        <v>0.03</v>
      </c>
      <c r="D112" s="156">
        <f t="shared" si="127"/>
        <v>0.03</v>
      </c>
      <c r="E112" s="156">
        <f t="shared" si="127"/>
        <v>0.03</v>
      </c>
      <c r="F112" s="156">
        <f t="shared" si="127"/>
        <v>0.03</v>
      </c>
      <c r="G112" s="156">
        <f t="shared" si="127"/>
        <v>0.03</v>
      </c>
      <c r="H112" s="156">
        <f t="shared" si="127"/>
        <v>0.03</v>
      </c>
      <c r="I112" s="156">
        <f t="shared" si="127"/>
        <v>0.03</v>
      </c>
      <c r="J112" s="156">
        <f t="shared" si="127"/>
        <v>0.03</v>
      </c>
      <c r="K112" s="156">
        <f t="shared" si="127"/>
        <v>0.03</v>
      </c>
      <c r="L112" s="156">
        <f t="shared" si="127"/>
        <v>0.03</v>
      </c>
      <c r="M112" s="156">
        <f t="shared" ref="M112:V113" si="128">SUMIF($BL$2:$BQ$2,M$2,$BL112:$BQ112)</f>
        <v>0.03</v>
      </c>
      <c r="N112" s="156">
        <f t="shared" si="128"/>
        <v>0.03</v>
      </c>
      <c r="O112" s="156">
        <f t="shared" si="128"/>
        <v>0.03</v>
      </c>
      <c r="P112" s="156">
        <f t="shared" si="128"/>
        <v>0.03</v>
      </c>
      <c r="Q112" s="156">
        <f t="shared" si="128"/>
        <v>0.03</v>
      </c>
      <c r="R112" s="156">
        <f t="shared" si="128"/>
        <v>0.03</v>
      </c>
      <c r="S112" s="156">
        <f t="shared" si="128"/>
        <v>0.03</v>
      </c>
      <c r="T112" s="156">
        <f t="shared" si="128"/>
        <v>0.03</v>
      </c>
      <c r="U112" s="156">
        <f t="shared" si="128"/>
        <v>0.03</v>
      </c>
      <c r="V112" s="156">
        <f t="shared" si="128"/>
        <v>0.03</v>
      </c>
      <c r="W112" s="156">
        <f t="shared" ref="W112:AF113" si="129">SUMIF($BL$2:$BQ$2,W$2,$BL112:$BQ112)</f>
        <v>0.03</v>
      </c>
      <c r="X112" s="156">
        <f t="shared" si="129"/>
        <v>0.03</v>
      </c>
      <c r="Y112" s="156">
        <f t="shared" si="129"/>
        <v>0.03</v>
      </c>
      <c r="Z112" s="156">
        <f t="shared" si="129"/>
        <v>0.03</v>
      </c>
      <c r="AA112" s="156">
        <f t="shared" si="129"/>
        <v>0.03</v>
      </c>
      <c r="AB112" s="156">
        <f t="shared" si="129"/>
        <v>0.03</v>
      </c>
      <c r="AC112" s="156">
        <f t="shared" si="129"/>
        <v>0.03</v>
      </c>
      <c r="AD112" s="156">
        <f t="shared" si="129"/>
        <v>0.03</v>
      </c>
      <c r="AE112" s="156">
        <f t="shared" si="129"/>
        <v>0.03</v>
      </c>
      <c r="AF112" s="156">
        <f t="shared" si="129"/>
        <v>0.03</v>
      </c>
      <c r="AG112" s="156">
        <f t="shared" ref="AG112:AP113" si="130">SUMIF($BL$2:$BQ$2,AG$2,$BL112:$BQ112)</f>
        <v>0.03</v>
      </c>
      <c r="AH112" s="156">
        <f t="shared" si="130"/>
        <v>0.03</v>
      </c>
      <c r="AI112" s="156">
        <f t="shared" si="130"/>
        <v>0.03</v>
      </c>
      <c r="AJ112" s="156">
        <f t="shared" si="130"/>
        <v>0.03</v>
      </c>
      <c r="AK112" s="156">
        <f t="shared" si="130"/>
        <v>0.03</v>
      </c>
      <c r="AL112" s="156">
        <f t="shared" si="130"/>
        <v>0.03</v>
      </c>
      <c r="AM112" s="156">
        <f t="shared" si="130"/>
        <v>0.03</v>
      </c>
      <c r="AN112" s="156">
        <f t="shared" si="130"/>
        <v>0.03</v>
      </c>
      <c r="AO112" s="156">
        <f t="shared" si="130"/>
        <v>0.03</v>
      </c>
      <c r="AP112" s="156">
        <f t="shared" si="130"/>
        <v>0.03</v>
      </c>
      <c r="AQ112" s="156">
        <f t="shared" ref="AQ112:AZ113" si="131">SUMIF($BL$2:$BQ$2,AQ$2,$BL112:$BQ112)</f>
        <v>0.03</v>
      </c>
      <c r="AR112" s="156">
        <f t="shared" si="131"/>
        <v>0.03</v>
      </c>
      <c r="AS112" s="156">
        <f t="shared" si="131"/>
        <v>0.03</v>
      </c>
      <c r="AT112" s="156">
        <f t="shared" si="131"/>
        <v>0.03</v>
      </c>
      <c r="AU112" s="156">
        <f t="shared" si="131"/>
        <v>0.03</v>
      </c>
      <c r="AV112" s="156">
        <f t="shared" si="131"/>
        <v>0.03</v>
      </c>
      <c r="AW112" s="156">
        <f t="shared" si="131"/>
        <v>0.03</v>
      </c>
      <c r="AX112" s="156">
        <f t="shared" si="131"/>
        <v>0.03</v>
      </c>
      <c r="AY112" s="156">
        <f t="shared" si="131"/>
        <v>0.03</v>
      </c>
      <c r="AZ112" s="156">
        <f t="shared" si="131"/>
        <v>0.03</v>
      </c>
      <c r="BA112" s="156">
        <f t="shared" ref="BA112:BJ113" si="132">SUMIF($BL$2:$BQ$2,BA$2,$BL112:$BQ112)</f>
        <v>0.03</v>
      </c>
      <c r="BB112" s="156">
        <f t="shared" si="132"/>
        <v>0.03</v>
      </c>
      <c r="BC112" s="156">
        <f t="shared" si="132"/>
        <v>0.03</v>
      </c>
      <c r="BD112" s="156">
        <f t="shared" si="132"/>
        <v>0.03</v>
      </c>
      <c r="BE112" s="156">
        <f t="shared" si="132"/>
        <v>0.03</v>
      </c>
      <c r="BF112" s="156">
        <f t="shared" si="132"/>
        <v>0.03</v>
      </c>
      <c r="BG112" s="156">
        <f t="shared" si="132"/>
        <v>0.03</v>
      </c>
      <c r="BH112" s="156">
        <f t="shared" si="132"/>
        <v>0.03</v>
      </c>
      <c r="BI112" s="156">
        <f t="shared" si="132"/>
        <v>0.03</v>
      </c>
      <c r="BJ112" s="156">
        <f t="shared" si="132"/>
        <v>0.03</v>
      </c>
      <c r="BL112" s="157">
        <v>0.03</v>
      </c>
      <c r="BM112" s="157">
        <v>0.03</v>
      </c>
      <c r="BN112" s="157">
        <v>0.03</v>
      </c>
      <c r="BO112" s="157">
        <v>0.03</v>
      </c>
      <c r="BP112" s="157">
        <v>0.03</v>
      </c>
      <c r="BQ112" s="157">
        <v>0.03</v>
      </c>
    </row>
    <row r="113" spans="1:69">
      <c r="A113" s="145" t="s">
        <v>158</v>
      </c>
      <c r="B113" s="31"/>
      <c r="C113" s="155">
        <f t="shared" si="127"/>
        <v>1</v>
      </c>
      <c r="D113" s="155">
        <f t="shared" si="127"/>
        <v>1</v>
      </c>
      <c r="E113" s="155">
        <f t="shared" si="127"/>
        <v>1</v>
      </c>
      <c r="F113" s="155">
        <f t="shared" si="127"/>
        <v>1</v>
      </c>
      <c r="G113" s="155">
        <f t="shared" si="127"/>
        <v>1.03</v>
      </c>
      <c r="H113" s="155">
        <f t="shared" si="127"/>
        <v>1.03</v>
      </c>
      <c r="I113" s="155">
        <f t="shared" si="127"/>
        <v>1.03</v>
      </c>
      <c r="J113" s="155">
        <f t="shared" si="127"/>
        <v>1.03</v>
      </c>
      <c r="K113" s="155">
        <f t="shared" si="127"/>
        <v>1.03</v>
      </c>
      <c r="L113" s="155">
        <f t="shared" si="127"/>
        <v>1.03</v>
      </c>
      <c r="M113" s="155">
        <f t="shared" si="128"/>
        <v>1.03</v>
      </c>
      <c r="N113" s="155">
        <f t="shared" si="128"/>
        <v>1.03</v>
      </c>
      <c r="O113" s="155">
        <f t="shared" si="128"/>
        <v>1.03</v>
      </c>
      <c r="P113" s="155">
        <f t="shared" si="128"/>
        <v>1.03</v>
      </c>
      <c r="Q113" s="155">
        <f t="shared" si="128"/>
        <v>1.03</v>
      </c>
      <c r="R113" s="155">
        <f t="shared" si="128"/>
        <v>1.03</v>
      </c>
      <c r="S113" s="155">
        <f t="shared" si="128"/>
        <v>1.0609</v>
      </c>
      <c r="T113" s="155">
        <f t="shared" si="128"/>
        <v>1.0609</v>
      </c>
      <c r="U113" s="155">
        <f t="shared" si="128"/>
        <v>1.0609</v>
      </c>
      <c r="V113" s="155">
        <f t="shared" si="128"/>
        <v>1.0609</v>
      </c>
      <c r="W113" s="155">
        <f t="shared" si="129"/>
        <v>1.0609</v>
      </c>
      <c r="X113" s="155">
        <f t="shared" si="129"/>
        <v>1.0609</v>
      </c>
      <c r="Y113" s="155">
        <f t="shared" si="129"/>
        <v>1.0609</v>
      </c>
      <c r="Z113" s="155">
        <f t="shared" si="129"/>
        <v>1.0609</v>
      </c>
      <c r="AA113" s="155">
        <f t="shared" si="129"/>
        <v>1.0609</v>
      </c>
      <c r="AB113" s="155">
        <f t="shared" si="129"/>
        <v>1.0609</v>
      </c>
      <c r="AC113" s="155">
        <f t="shared" si="129"/>
        <v>1.0609</v>
      </c>
      <c r="AD113" s="155">
        <f t="shared" si="129"/>
        <v>1.0609</v>
      </c>
      <c r="AE113" s="155">
        <f t="shared" si="129"/>
        <v>1.092727</v>
      </c>
      <c r="AF113" s="155">
        <f t="shared" si="129"/>
        <v>1.092727</v>
      </c>
      <c r="AG113" s="155">
        <f t="shared" si="130"/>
        <v>1.092727</v>
      </c>
      <c r="AH113" s="155">
        <f t="shared" si="130"/>
        <v>1.092727</v>
      </c>
      <c r="AI113" s="155">
        <f t="shared" si="130"/>
        <v>1.092727</v>
      </c>
      <c r="AJ113" s="155">
        <f t="shared" si="130"/>
        <v>1.092727</v>
      </c>
      <c r="AK113" s="155">
        <f t="shared" si="130"/>
        <v>1.092727</v>
      </c>
      <c r="AL113" s="155">
        <f t="shared" si="130"/>
        <v>1.092727</v>
      </c>
      <c r="AM113" s="155">
        <f t="shared" si="130"/>
        <v>1.092727</v>
      </c>
      <c r="AN113" s="155">
        <f t="shared" si="130"/>
        <v>1.092727</v>
      </c>
      <c r="AO113" s="155">
        <f t="shared" si="130"/>
        <v>1.092727</v>
      </c>
      <c r="AP113" s="155">
        <f t="shared" si="130"/>
        <v>1.092727</v>
      </c>
      <c r="AQ113" s="155">
        <f t="shared" si="131"/>
        <v>1.1255088100000001</v>
      </c>
      <c r="AR113" s="155">
        <f t="shared" si="131"/>
        <v>1.1255088100000001</v>
      </c>
      <c r="AS113" s="155">
        <f t="shared" si="131"/>
        <v>1.1255088100000001</v>
      </c>
      <c r="AT113" s="155">
        <f t="shared" si="131"/>
        <v>1.1255088100000001</v>
      </c>
      <c r="AU113" s="155">
        <f t="shared" si="131"/>
        <v>1.1255088100000001</v>
      </c>
      <c r="AV113" s="155">
        <f t="shared" si="131"/>
        <v>1.1255088100000001</v>
      </c>
      <c r="AW113" s="155">
        <f t="shared" si="131"/>
        <v>1.1255088100000001</v>
      </c>
      <c r="AX113" s="155">
        <f t="shared" si="131"/>
        <v>1.1255088100000001</v>
      </c>
      <c r="AY113" s="155">
        <f t="shared" si="131"/>
        <v>1.1255088100000001</v>
      </c>
      <c r="AZ113" s="155">
        <f t="shared" si="131"/>
        <v>1.1255088100000001</v>
      </c>
      <c r="BA113" s="155">
        <f t="shared" si="132"/>
        <v>1.1255088100000001</v>
      </c>
      <c r="BB113" s="155">
        <f t="shared" si="132"/>
        <v>1.1255088100000001</v>
      </c>
      <c r="BC113" s="155">
        <f t="shared" si="132"/>
        <v>1.1592740743000001</v>
      </c>
      <c r="BD113" s="155">
        <f t="shared" si="132"/>
        <v>1.1592740743000001</v>
      </c>
      <c r="BE113" s="155">
        <f t="shared" si="132"/>
        <v>1.1592740743000001</v>
      </c>
      <c r="BF113" s="155">
        <f t="shared" si="132"/>
        <v>1.1592740743000001</v>
      </c>
      <c r="BG113" s="155">
        <f t="shared" si="132"/>
        <v>1.1592740743000001</v>
      </c>
      <c r="BH113" s="155">
        <f t="shared" si="132"/>
        <v>1.1592740743000001</v>
      </c>
      <c r="BI113" s="155">
        <f t="shared" si="132"/>
        <v>1.1592740743000001</v>
      </c>
      <c r="BJ113" s="155">
        <f t="shared" si="132"/>
        <v>1.1592740743000001</v>
      </c>
      <c r="BL113" s="151">
        <v>1</v>
      </c>
      <c r="BM113" s="151">
        <f>BL113*(1+BL112)</f>
        <v>1.03</v>
      </c>
      <c r="BN113" s="151">
        <f t="shared" ref="BN113:BO113" si="133">BM113*(1+BM112)</f>
        <v>1.0609</v>
      </c>
      <c r="BO113" s="151">
        <f t="shared" si="133"/>
        <v>1.092727</v>
      </c>
      <c r="BP113" s="151">
        <f t="shared" ref="BP113" si="134">BO113*(1+BO112)</f>
        <v>1.1255088100000001</v>
      </c>
      <c r="BQ113" s="151">
        <f t="shared" ref="BQ113" si="135">BP113*(1+BP112)</f>
        <v>1.1592740743000001</v>
      </c>
    </row>
    <row r="114" spans="1:69">
      <c r="A114" s="55"/>
    </row>
    <row r="115" spans="1:69" ht="14.45" customHeight="1"/>
    <row r="116" spans="1:69">
      <c r="A116" s="49" t="s">
        <v>121</v>
      </c>
      <c r="B116" s="146"/>
    </row>
    <row r="117" spans="1:69">
      <c r="A117" s="34" t="s">
        <v>172</v>
      </c>
      <c r="B117" s="24"/>
    </row>
    <row r="118" spans="1:69">
      <c r="A118" s="30" t="s">
        <v>314</v>
      </c>
      <c r="B118" s="33">
        <v>3</v>
      </c>
    </row>
    <row r="119" spans="1:69">
      <c r="A119" s="30" t="s">
        <v>315</v>
      </c>
      <c r="B119" s="33">
        <v>3</v>
      </c>
    </row>
    <row r="120" spans="1:69">
      <c r="A120" s="30" t="s">
        <v>316</v>
      </c>
      <c r="B120" s="33">
        <v>2</v>
      </c>
    </row>
    <row r="121" spans="1:69">
      <c r="A121" s="30" t="s">
        <v>319</v>
      </c>
      <c r="B121" s="33">
        <v>20</v>
      </c>
    </row>
    <row r="122" spans="1:69">
      <c r="A122" s="30" t="s">
        <v>320</v>
      </c>
      <c r="B122" s="33">
        <v>16</v>
      </c>
    </row>
    <row r="123" spans="1:69">
      <c r="A123" s="30" t="s">
        <v>321</v>
      </c>
      <c r="B123" s="33">
        <v>10</v>
      </c>
    </row>
    <row r="124" spans="1:69">
      <c r="A124" s="30" t="s">
        <v>322</v>
      </c>
      <c r="B124" s="33">
        <v>8</v>
      </c>
    </row>
    <row r="125" spans="1:69">
      <c r="A125" s="30" t="s">
        <v>323</v>
      </c>
      <c r="B125" s="33">
        <v>4</v>
      </c>
    </row>
    <row r="126" spans="1:69">
      <c r="A126" s="30" t="s">
        <v>324</v>
      </c>
      <c r="B126" s="33">
        <v>6</v>
      </c>
    </row>
    <row r="127" spans="1:69">
      <c r="A127" s="30" t="s">
        <v>325</v>
      </c>
      <c r="B127" s="33">
        <v>6</v>
      </c>
    </row>
    <row r="128" spans="1:69">
      <c r="A128" s="34" t="s">
        <v>171</v>
      </c>
      <c r="B128" s="24"/>
    </row>
    <row r="129" spans="1:2">
      <c r="A129" s="30" t="s">
        <v>294</v>
      </c>
      <c r="B129" s="33">
        <v>4</v>
      </c>
    </row>
    <row r="130" spans="1:2">
      <c r="A130" s="30" t="s">
        <v>318</v>
      </c>
      <c r="B130" s="33">
        <v>4</v>
      </c>
    </row>
    <row r="131" spans="1:2">
      <c r="A131" s="30"/>
      <c r="B131" s="33"/>
    </row>
    <row r="132" spans="1:2">
      <c r="A132" s="34" t="s">
        <v>154</v>
      </c>
      <c r="B132" s="24"/>
    </row>
    <row r="133" spans="1:2">
      <c r="A133" s="30" t="s">
        <v>293</v>
      </c>
      <c r="B133" s="33">
        <v>1</v>
      </c>
    </row>
    <row r="134" spans="1:2">
      <c r="A134" s="30" t="s">
        <v>310</v>
      </c>
      <c r="B134" s="33">
        <v>1</v>
      </c>
    </row>
    <row r="135" spans="1:2">
      <c r="A135" s="30" t="s">
        <v>296</v>
      </c>
      <c r="B135" s="33">
        <v>1</v>
      </c>
    </row>
    <row r="136" spans="1:2">
      <c r="A136" s="30" t="s">
        <v>311</v>
      </c>
      <c r="B136" s="33">
        <v>2</v>
      </c>
    </row>
    <row r="137" spans="1:2">
      <c r="A137" s="30" t="s">
        <v>312</v>
      </c>
      <c r="B137" s="33">
        <v>3</v>
      </c>
    </row>
    <row r="138" spans="1:2">
      <c r="A138" s="30" t="s">
        <v>313</v>
      </c>
      <c r="B138" s="33">
        <v>4</v>
      </c>
    </row>
    <row r="139" spans="1:2">
      <c r="A139" s="30" t="s">
        <v>317</v>
      </c>
      <c r="B139" s="33">
        <v>2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11"/>
  <dimension ref="A1:BS66"/>
  <sheetViews>
    <sheetView zoomScale="90" zoomScaleNormal="90" zoomScalePageLayoutView="150" workbookViewId="0">
      <pane xSplit="1" ySplit="5" topLeftCell="B12" activePane="bottomRight" state="frozen"/>
      <selection pane="topRight" activeCell="B1" sqref="B1"/>
      <selection pane="bottomLeft" activeCell="A6" sqref="A6"/>
      <selection pane="bottomRight" activeCell="K76" sqref="K76"/>
    </sheetView>
  </sheetViews>
  <sheetFormatPr defaultColWidth="8.5703125" defaultRowHeight="13.9"/>
  <cols>
    <col min="1" max="1" width="55.35546875" style="1" customWidth="1"/>
    <col min="2" max="2" width="30.5703125" style="1" customWidth="1"/>
    <col min="3" max="3" width="10.5703125" style="1" customWidth="1"/>
    <col min="4" max="4" width="12.42578125" style="1" customWidth="1"/>
    <col min="5" max="6" width="11.42578125" style="1" customWidth="1"/>
    <col min="7" max="7" width="12.42578125" style="1" customWidth="1"/>
    <col min="8" max="10" width="11.42578125" style="1" customWidth="1"/>
    <col min="11" max="11" width="12.42578125" style="1" customWidth="1"/>
    <col min="12" max="12" width="11.42578125" style="1" customWidth="1"/>
    <col min="13" max="13" width="12.42578125" style="1" customWidth="1"/>
    <col min="14" max="15" width="11.42578125" style="1" customWidth="1"/>
    <col min="16" max="16" width="12.42578125" style="1" customWidth="1"/>
    <col min="17" max="18" width="11.42578125" style="1" customWidth="1"/>
    <col min="19" max="26" width="12.42578125" style="1" customWidth="1"/>
    <col min="27" max="27" width="11.42578125" style="1" customWidth="1"/>
    <col min="28" max="62" width="12.42578125" style="1" customWidth="1"/>
    <col min="63" max="63" width="8.5703125" style="1"/>
    <col min="64" max="64" width="9.5703125" style="1" customWidth="1"/>
    <col min="65" max="65" width="10.42578125" style="1" customWidth="1"/>
    <col min="66" max="66" width="10.140625" style="1" customWidth="1"/>
    <col min="67" max="68" width="10.35546875" style="1" bestFit="1" customWidth="1"/>
    <col min="69" max="69" width="11.42578125" style="1" customWidth="1"/>
    <col min="70" max="70" width="13.35546875" style="1" customWidth="1"/>
    <col min="71" max="16384" width="8.5703125" style="1"/>
  </cols>
  <sheetData>
    <row r="1" spans="1:69">
      <c r="A1" s="18" t="s">
        <v>6</v>
      </c>
      <c r="B1" s="18"/>
      <c r="C1" s="19">
        <f>IF(OR(MONTH(C3)=1,MONTH(C3)=2,MONTH(C3)=3),1,IF(OR(MONTH(C3)=4,MONTH(C3)=5,MONTH(C3)=6),2,IF(OR(MONTH(C3)=7,MONTH(C3)=8,MONTH(C3)=9),3,4)))</f>
        <v>3</v>
      </c>
      <c r="D1" s="19">
        <f>IF(OR(MONTH(D3)=1,MONTH(D3)=2,MONTH(D3)=3),1,IF(OR(MONTH(D3)=4,MONTH(D3)=5,MONTH(D3)=6),2,IF(OR(MONTH(D3)=7,MONTH(D3)=8,MONTH(D3)=9),3,4)))</f>
        <v>4</v>
      </c>
      <c r="E1" s="19">
        <f>IF(OR(MONTH(E3)=1,MONTH(E3)=2,MONTH(E3)=3),1,IF(OR(MONTH(E3)=4,MONTH(E3)=5,MONTH(E3)=6),2,IF(OR(MONTH(E3)=7,MONTH(E3)=8,MONTH(E3)=9),3,4)))</f>
        <v>4</v>
      </c>
      <c r="F1" s="19">
        <f t="shared" ref="F1:BI1" si="0">IF(OR(MONTH(F3)=1,MONTH(F3)=2,MONTH(F3)=3),1,IF(OR(MONTH(F3)=4,MONTH(F3)=5,MONTH(F3)=6),2,IF(OR(MONTH(F3)=7,MONTH(F3)=8,MONTH(F3)=9),3,4)))</f>
        <v>4</v>
      </c>
      <c r="G1" s="19">
        <f t="shared" si="0"/>
        <v>1</v>
      </c>
      <c r="H1" s="19">
        <f t="shared" si="0"/>
        <v>1</v>
      </c>
      <c r="I1" s="19">
        <f t="shared" si="0"/>
        <v>1</v>
      </c>
      <c r="J1" s="19">
        <f t="shared" si="0"/>
        <v>2</v>
      </c>
      <c r="K1" s="19">
        <f t="shared" si="0"/>
        <v>2</v>
      </c>
      <c r="L1" s="19">
        <f t="shared" si="0"/>
        <v>2</v>
      </c>
      <c r="M1" s="19">
        <f t="shared" si="0"/>
        <v>3</v>
      </c>
      <c r="N1" s="19">
        <f t="shared" si="0"/>
        <v>3</v>
      </c>
      <c r="O1" s="19">
        <f t="shared" si="0"/>
        <v>3</v>
      </c>
      <c r="P1" s="19">
        <f t="shared" si="0"/>
        <v>4</v>
      </c>
      <c r="Q1" s="19">
        <f t="shared" si="0"/>
        <v>4</v>
      </c>
      <c r="R1" s="19">
        <f t="shared" si="0"/>
        <v>4</v>
      </c>
      <c r="S1" s="19">
        <f t="shared" si="0"/>
        <v>1</v>
      </c>
      <c r="T1" s="19">
        <f t="shared" si="0"/>
        <v>1</v>
      </c>
      <c r="U1" s="19">
        <f t="shared" si="0"/>
        <v>1</v>
      </c>
      <c r="V1" s="19">
        <f t="shared" si="0"/>
        <v>2</v>
      </c>
      <c r="W1" s="19">
        <f t="shared" si="0"/>
        <v>2</v>
      </c>
      <c r="X1" s="19">
        <f t="shared" si="0"/>
        <v>2</v>
      </c>
      <c r="Y1" s="19">
        <f t="shared" si="0"/>
        <v>3</v>
      </c>
      <c r="Z1" s="19">
        <f t="shared" si="0"/>
        <v>3</v>
      </c>
      <c r="AA1" s="19">
        <f t="shared" si="0"/>
        <v>3</v>
      </c>
      <c r="AB1" s="19">
        <f t="shared" si="0"/>
        <v>4</v>
      </c>
      <c r="AC1" s="19">
        <f t="shared" si="0"/>
        <v>4</v>
      </c>
      <c r="AD1" s="19">
        <f t="shared" si="0"/>
        <v>4</v>
      </c>
      <c r="AE1" s="19">
        <f t="shared" si="0"/>
        <v>1</v>
      </c>
      <c r="AF1" s="19">
        <f t="shared" si="0"/>
        <v>1</v>
      </c>
      <c r="AG1" s="19">
        <f t="shared" si="0"/>
        <v>1</v>
      </c>
      <c r="AH1" s="19">
        <f t="shared" si="0"/>
        <v>2</v>
      </c>
      <c r="AI1" s="19">
        <f t="shared" si="0"/>
        <v>2</v>
      </c>
      <c r="AJ1" s="19">
        <f t="shared" si="0"/>
        <v>2</v>
      </c>
      <c r="AK1" s="19">
        <f t="shared" si="0"/>
        <v>3</v>
      </c>
      <c r="AL1" s="19">
        <f t="shared" si="0"/>
        <v>3</v>
      </c>
      <c r="AM1" s="19">
        <f t="shared" si="0"/>
        <v>3</v>
      </c>
      <c r="AN1" s="19">
        <f t="shared" si="0"/>
        <v>4</v>
      </c>
      <c r="AO1" s="19">
        <f t="shared" si="0"/>
        <v>4</v>
      </c>
      <c r="AP1" s="19">
        <f t="shared" si="0"/>
        <v>4</v>
      </c>
      <c r="AQ1" s="19">
        <f t="shared" si="0"/>
        <v>1</v>
      </c>
      <c r="AR1" s="19">
        <f t="shared" si="0"/>
        <v>1</v>
      </c>
      <c r="AS1" s="19">
        <f t="shared" si="0"/>
        <v>1</v>
      </c>
      <c r="AT1" s="19">
        <f t="shared" si="0"/>
        <v>2</v>
      </c>
      <c r="AU1" s="19">
        <f t="shared" si="0"/>
        <v>2</v>
      </c>
      <c r="AV1" s="19">
        <f t="shared" si="0"/>
        <v>2</v>
      </c>
      <c r="AW1" s="19">
        <f t="shared" si="0"/>
        <v>3</v>
      </c>
      <c r="AX1" s="19">
        <f t="shared" si="0"/>
        <v>3</v>
      </c>
      <c r="AY1" s="19">
        <f t="shared" si="0"/>
        <v>3</v>
      </c>
      <c r="AZ1" s="19">
        <f t="shared" si="0"/>
        <v>4</v>
      </c>
      <c r="BA1" s="19">
        <f t="shared" si="0"/>
        <v>4</v>
      </c>
      <c r="BB1" s="19">
        <f t="shared" si="0"/>
        <v>4</v>
      </c>
      <c r="BC1" s="19">
        <f t="shared" si="0"/>
        <v>1</v>
      </c>
      <c r="BD1" s="19">
        <f t="shared" si="0"/>
        <v>1</v>
      </c>
      <c r="BE1" s="19">
        <f t="shared" si="0"/>
        <v>1</v>
      </c>
      <c r="BF1" s="19">
        <f t="shared" si="0"/>
        <v>2</v>
      </c>
      <c r="BG1" s="19">
        <f t="shared" si="0"/>
        <v>2</v>
      </c>
      <c r="BH1" s="19">
        <f t="shared" si="0"/>
        <v>2</v>
      </c>
      <c r="BI1" s="19">
        <f t="shared" si="0"/>
        <v>3</v>
      </c>
      <c r="BJ1" s="19">
        <f t="shared" ref="BJ1" si="1">IF(OR(MONTH(BJ3)=1,MONTH(BJ3)=2,MONTH(BJ3)=3),1,IF(OR(MONTH(BJ3)=4,MONTH(BJ3)=5,MONTH(BJ3)=6),2,IF(OR(MONTH(BJ3)=7,MONTH(BJ3)=8,MONTH(BJ3)=9),3,4)))</f>
        <v>3</v>
      </c>
      <c r="BM1" s="2"/>
    </row>
    <row r="2" spans="1:69">
      <c r="A2" s="18" t="s">
        <v>7</v>
      </c>
      <c r="B2" s="18"/>
      <c r="C2" s="19">
        <f>YEAR(C3)</f>
        <v>2025</v>
      </c>
      <c r="D2" s="19">
        <f>YEAR(D3)</f>
        <v>2025</v>
      </c>
      <c r="E2" s="19">
        <f t="shared" ref="E2:BJ2" si="2">YEAR(E3)</f>
        <v>2025</v>
      </c>
      <c r="F2" s="19">
        <f t="shared" si="2"/>
        <v>2025</v>
      </c>
      <c r="G2" s="19">
        <f t="shared" si="2"/>
        <v>2026</v>
      </c>
      <c r="H2" s="19">
        <f t="shared" si="2"/>
        <v>2026</v>
      </c>
      <c r="I2" s="19">
        <f t="shared" si="2"/>
        <v>2026</v>
      </c>
      <c r="J2" s="19">
        <f t="shared" si="2"/>
        <v>2026</v>
      </c>
      <c r="K2" s="19">
        <f t="shared" si="2"/>
        <v>2026</v>
      </c>
      <c r="L2" s="19">
        <f t="shared" si="2"/>
        <v>2026</v>
      </c>
      <c r="M2" s="19">
        <f t="shared" si="2"/>
        <v>2026</v>
      </c>
      <c r="N2" s="19">
        <f t="shared" si="2"/>
        <v>2026</v>
      </c>
      <c r="O2" s="19">
        <f t="shared" si="2"/>
        <v>2026</v>
      </c>
      <c r="P2" s="19">
        <f t="shared" si="2"/>
        <v>2026</v>
      </c>
      <c r="Q2" s="19">
        <f t="shared" si="2"/>
        <v>2026</v>
      </c>
      <c r="R2" s="19">
        <f t="shared" si="2"/>
        <v>2026</v>
      </c>
      <c r="S2" s="19">
        <f t="shared" si="2"/>
        <v>2027</v>
      </c>
      <c r="T2" s="19">
        <f t="shared" si="2"/>
        <v>2027</v>
      </c>
      <c r="U2" s="19">
        <f t="shared" si="2"/>
        <v>2027</v>
      </c>
      <c r="V2" s="19">
        <f t="shared" si="2"/>
        <v>2027</v>
      </c>
      <c r="W2" s="19">
        <f t="shared" si="2"/>
        <v>2027</v>
      </c>
      <c r="X2" s="19">
        <f t="shared" si="2"/>
        <v>2027</v>
      </c>
      <c r="Y2" s="19">
        <f t="shared" si="2"/>
        <v>2027</v>
      </c>
      <c r="Z2" s="19">
        <f t="shared" si="2"/>
        <v>2027</v>
      </c>
      <c r="AA2" s="19">
        <f t="shared" si="2"/>
        <v>2027</v>
      </c>
      <c r="AB2" s="19">
        <f t="shared" si="2"/>
        <v>2027</v>
      </c>
      <c r="AC2" s="19">
        <f t="shared" si="2"/>
        <v>2027</v>
      </c>
      <c r="AD2" s="19">
        <f t="shared" si="2"/>
        <v>2027</v>
      </c>
      <c r="AE2" s="19">
        <f t="shared" si="2"/>
        <v>2028</v>
      </c>
      <c r="AF2" s="19">
        <f t="shared" si="2"/>
        <v>2028</v>
      </c>
      <c r="AG2" s="19">
        <f t="shared" si="2"/>
        <v>2028</v>
      </c>
      <c r="AH2" s="19">
        <f t="shared" si="2"/>
        <v>2028</v>
      </c>
      <c r="AI2" s="19">
        <f t="shared" si="2"/>
        <v>2028</v>
      </c>
      <c r="AJ2" s="19">
        <f t="shared" si="2"/>
        <v>2028</v>
      </c>
      <c r="AK2" s="19">
        <f t="shared" si="2"/>
        <v>2028</v>
      </c>
      <c r="AL2" s="19">
        <f t="shared" si="2"/>
        <v>2028</v>
      </c>
      <c r="AM2" s="19">
        <f t="shared" si="2"/>
        <v>2028</v>
      </c>
      <c r="AN2" s="19">
        <f t="shared" si="2"/>
        <v>2028</v>
      </c>
      <c r="AO2" s="19">
        <f t="shared" si="2"/>
        <v>2028</v>
      </c>
      <c r="AP2" s="19">
        <f t="shared" si="2"/>
        <v>2028</v>
      </c>
      <c r="AQ2" s="19">
        <f t="shared" si="2"/>
        <v>2029</v>
      </c>
      <c r="AR2" s="19">
        <f t="shared" si="2"/>
        <v>2029</v>
      </c>
      <c r="AS2" s="19">
        <f t="shared" si="2"/>
        <v>2029</v>
      </c>
      <c r="AT2" s="19">
        <f t="shared" si="2"/>
        <v>2029</v>
      </c>
      <c r="AU2" s="19">
        <f t="shared" si="2"/>
        <v>2029</v>
      </c>
      <c r="AV2" s="19">
        <f t="shared" si="2"/>
        <v>2029</v>
      </c>
      <c r="AW2" s="19">
        <f t="shared" si="2"/>
        <v>2029</v>
      </c>
      <c r="AX2" s="19">
        <f t="shared" si="2"/>
        <v>2029</v>
      </c>
      <c r="AY2" s="19">
        <f t="shared" si="2"/>
        <v>2029</v>
      </c>
      <c r="AZ2" s="19">
        <f t="shared" si="2"/>
        <v>2029</v>
      </c>
      <c r="BA2" s="19">
        <f t="shared" si="2"/>
        <v>2029</v>
      </c>
      <c r="BB2" s="19">
        <f t="shared" si="2"/>
        <v>2029</v>
      </c>
      <c r="BC2" s="19">
        <f t="shared" si="2"/>
        <v>2030</v>
      </c>
      <c r="BD2" s="19">
        <f t="shared" si="2"/>
        <v>2030</v>
      </c>
      <c r="BE2" s="19">
        <f t="shared" si="2"/>
        <v>2030</v>
      </c>
      <c r="BF2" s="19">
        <f t="shared" si="2"/>
        <v>2030</v>
      </c>
      <c r="BG2" s="19">
        <f t="shared" si="2"/>
        <v>2030</v>
      </c>
      <c r="BH2" s="19">
        <f t="shared" si="2"/>
        <v>2030</v>
      </c>
      <c r="BI2" s="19">
        <f t="shared" si="2"/>
        <v>2030</v>
      </c>
      <c r="BJ2" s="19">
        <f t="shared" si="2"/>
        <v>2030</v>
      </c>
      <c r="BL2" s="19">
        <f>YEAR(Допущения!C4)</f>
        <v>2025</v>
      </c>
      <c r="BM2" s="19">
        <f t="shared" ref="BM2:BO2" si="3">BL2+1</f>
        <v>2026</v>
      </c>
      <c r="BN2" s="19">
        <f t="shared" si="3"/>
        <v>2027</v>
      </c>
      <c r="BO2" s="19">
        <f t="shared" si="3"/>
        <v>2028</v>
      </c>
      <c r="BP2" s="19">
        <f t="shared" ref="BP2" si="4">BO2+1</f>
        <v>2029</v>
      </c>
      <c r="BQ2" s="19">
        <f t="shared" ref="BQ2" si="5">BP2+1</f>
        <v>2030</v>
      </c>
    </row>
    <row r="3" spans="1:69">
      <c r="A3" s="18" t="s">
        <v>8</v>
      </c>
      <c r="B3" s="18"/>
      <c r="C3" s="20">
        <f>Допущения!C4</f>
        <v>45901</v>
      </c>
      <c r="D3" s="20">
        <f t="shared" ref="D3:O3" si="6">DATE(YEAR(C3),MONTH(C3)+1,1)</f>
        <v>45931</v>
      </c>
      <c r="E3" s="20">
        <f t="shared" si="6"/>
        <v>45962</v>
      </c>
      <c r="F3" s="20">
        <f t="shared" si="6"/>
        <v>45992</v>
      </c>
      <c r="G3" s="20">
        <f t="shared" si="6"/>
        <v>46023</v>
      </c>
      <c r="H3" s="20">
        <f t="shared" si="6"/>
        <v>46054</v>
      </c>
      <c r="I3" s="20">
        <f t="shared" si="6"/>
        <v>46082</v>
      </c>
      <c r="J3" s="20">
        <f t="shared" si="6"/>
        <v>46113</v>
      </c>
      <c r="K3" s="20">
        <f t="shared" si="6"/>
        <v>46143</v>
      </c>
      <c r="L3" s="20">
        <f t="shared" si="6"/>
        <v>46174</v>
      </c>
      <c r="M3" s="20">
        <f t="shared" si="6"/>
        <v>46204</v>
      </c>
      <c r="N3" s="20">
        <f t="shared" si="6"/>
        <v>46235</v>
      </c>
      <c r="O3" s="20">
        <f t="shared" si="6"/>
        <v>46266</v>
      </c>
      <c r="P3" s="20">
        <f t="shared" ref="P3:AL3" si="7">DATE(YEAR(O3),MONTH(O3)+1,1)</f>
        <v>46296</v>
      </c>
      <c r="Q3" s="20">
        <f t="shared" si="7"/>
        <v>46327</v>
      </c>
      <c r="R3" s="20">
        <f t="shared" si="7"/>
        <v>46357</v>
      </c>
      <c r="S3" s="20">
        <f t="shared" si="7"/>
        <v>46388</v>
      </c>
      <c r="T3" s="20">
        <f t="shared" si="7"/>
        <v>46419</v>
      </c>
      <c r="U3" s="20">
        <f t="shared" si="7"/>
        <v>46447</v>
      </c>
      <c r="V3" s="20">
        <f t="shared" si="7"/>
        <v>46478</v>
      </c>
      <c r="W3" s="20">
        <f t="shared" si="7"/>
        <v>46508</v>
      </c>
      <c r="X3" s="20">
        <f t="shared" si="7"/>
        <v>46539</v>
      </c>
      <c r="Y3" s="20">
        <f t="shared" si="7"/>
        <v>46569</v>
      </c>
      <c r="Z3" s="20">
        <f t="shared" si="7"/>
        <v>46600</v>
      </c>
      <c r="AA3" s="20">
        <f t="shared" si="7"/>
        <v>46631</v>
      </c>
      <c r="AB3" s="20">
        <f t="shared" si="7"/>
        <v>46661</v>
      </c>
      <c r="AC3" s="20">
        <f t="shared" si="7"/>
        <v>46692</v>
      </c>
      <c r="AD3" s="20">
        <f t="shared" si="7"/>
        <v>46722</v>
      </c>
      <c r="AE3" s="20">
        <f t="shared" si="7"/>
        <v>46753</v>
      </c>
      <c r="AF3" s="20">
        <f t="shared" si="7"/>
        <v>46784</v>
      </c>
      <c r="AG3" s="20">
        <f t="shared" si="7"/>
        <v>46813</v>
      </c>
      <c r="AH3" s="20">
        <f t="shared" si="7"/>
        <v>46844</v>
      </c>
      <c r="AI3" s="20">
        <f t="shared" si="7"/>
        <v>46874</v>
      </c>
      <c r="AJ3" s="20">
        <f t="shared" si="7"/>
        <v>46905</v>
      </c>
      <c r="AK3" s="20">
        <f t="shared" si="7"/>
        <v>46935</v>
      </c>
      <c r="AL3" s="20">
        <f t="shared" si="7"/>
        <v>46966</v>
      </c>
      <c r="AM3" s="20">
        <f t="shared" ref="AM3:BI3" si="8">DATE(YEAR(AL3),MONTH(AL3)+1,1)</f>
        <v>46997</v>
      </c>
      <c r="AN3" s="20">
        <f t="shared" si="8"/>
        <v>47027</v>
      </c>
      <c r="AO3" s="20">
        <f t="shared" si="8"/>
        <v>47058</v>
      </c>
      <c r="AP3" s="20">
        <f t="shared" si="8"/>
        <v>47088</v>
      </c>
      <c r="AQ3" s="20">
        <f t="shared" si="8"/>
        <v>47119</v>
      </c>
      <c r="AR3" s="20">
        <f t="shared" si="8"/>
        <v>47150</v>
      </c>
      <c r="AS3" s="20">
        <f t="shared" si="8"/>
        <v>47178</v>
      </c>
      <c r="AT3" s="20">
        <f t="shared" si="8"/>
        <v>47209</v>
      </c>
      <c r="AU3" s="20">
        <f t="shared" si="8"/>
        <v>47239</v>
      </c>
      <c r="AV3" s="20">
        <f t="shared" si="8"/>
        <v>47270</v>
      </c>
      <c r="AW3" s="20">
        <f t="shared" si="8"/>
        <v>47300</v>
      </c>
      <c r="AX3" s="20">
        <f t="shared" si="8"/>
        <v>47331</v>
      </c>
      <c r="AY3" s="20">
        <f t="shared" si="8"/>
        <v>47362</v>
      </c>
      <c r="AZ3" s="20">
        <f t="shared" si="8"/>
        <v>47392</v>
      </c>
      <c r="BA3" s="20">
        <f t="shared" si="8"/>
        <v>47423</v>
      </c>
      <c r="BB3" s="20">
        <f t="shared" si="8"/>
        <v>47453</v>
      </c>
      <c r="BC3" s="20">
        <f t="shared" si="8"/>
        <v>47484</v>
      </c>
      <c r="BD3" s="20">
        <f t="shared" si="8"/>
        <v>47515</v>
      </c>
      <c r="BE3" s="20">
        <f t="shared" si="8"/>
        <v>47543</v>
      </c>
      <c r="BF3" s="20">
        <f t="shared" si="8"/>
        <v>47574</v>
      </c>
      <c r="BG3" s="20">
        <f t="shared" si="8"/>
        <v>47604</v>
      </c>
      <c r="BH3" s="20">
        <f t="shared" si="8"/>
        <v>47635</v>
      </c>
      <c r="BI3" s="20">
        <f t="shared" si="8"/>
        <v>47665</v>
      </c>
      <c r="BJ3" s="20">
        <f t="shared" ref="BJ3:BK3" si="9">DATE(YEAR(BI3),MONTH(BI3)+1,1)</f>
        <v>47696</v>
      </c>
      <c r="BK3" s="9">
        <f t="shared" si="9"/>
        <v>47727</v>
      </c>
    </row>
    <row r="4" spans="1:69">
      <c r="A4" s="18" t="s">
        <v>10</v>
      </c>
      <c r="B4" s="18"/>
      <c r="C4" s="19">
        <f>D3-C3</f>
        <v>30</v>
      </c>
      <c r="D4" s="19">
        <f>E3-D3</f>
        <v>31</v>
      </c>
      <c r="E4" s="19">
        <f t="shared" ref="E4:AK4" si="10">F3-E3</f>
        <v>30</v>
      </c>
      <c r="F4" s="19">
        <f t="shared" si="10"/>
        <v>31</v>
      </c>
      <c r="G4" s="19">
        <f t="shared" si="10"/>
        <v>31</v>
      </c>
      <c r="H4" s="19">
        <f t="shared" si="10"/>
        <v>28</v>
      </c>
      <c r="I4" s="19">
        <f t="shared" si="10"/>
        <v>31</v>
      </c>
      <c r="J4" s="19">
        <f t="shared" si="10"/>
        <v>30</v>
      </c>
      <c r="K4" s="19">
        <f t="shared" si="10"/>
        <v>31</v>
      </c>
      <c r="L4" s="19">
        <f t="shared" si="10"/>
        <v>30</v>
      </c>
      <c r="M4" s="19">
        <f t="shared" si="10"/>
        <v>31</v>
      </c>
      <c r="N4" s="19">
        <f t="shared" si="10"/>
        <v>31</v>
      </c>
      <c r="O4" s="19">
        <f t="shared" si="10"/>
        <v>30</v>
      </c>
      <c r="P4" s="19">
        <f t="shared" si="10"/>
        <v>31</v>
      </c>
      <c r="Q4" s="19">
        <f t="shared" si="10"/>
        <v>30</v>
      </c>
      <c r="R4" s="19">
        <f t="shared" si="10"/>
        <v>31</v>
      </c>
      <c r="S4" s="19">
        <f t="shared" si="10"/>
        <v>31</v>
      </c>
      <c r="T4" s="19">
        <f t="shared" si="10"/>
        <v>28</v>
      </c>
      <c r="U4" s="19">
        <f t="shared" si="10"/>
        <v>31</v>
      </c>
      <c r="V4" s="19">
        <f t="shared" si="10"/>
        <v>30</v>
      </c>
      <c r="W4" s="19">
        <f t="shared" si="10"/>
        <v>31</v>
      </c>
      <c r="X4" s="19">
        <f t="shared" si="10"/>
        <v>30</v>
      </c>
      <c r="Y4" s="19">
        <f t="shared" si="10"/>
        <v>31</v>
      </c>
      <c r="Z4" s="19">
        <f t="shared" si="10"/>
        <v>31</v>
      </c>
      <c r="AA4" s="19">
        <f t="shared" si="10"/>
        <v>30</v>
      </c>
      <c r="AB4" s="19">
        <f t="shared" si="10"/>
        <v>31</v>
      </c>
      <c r="AC4" s="19">
        <f t="shared" si="10"/>
        <v>30</v>
      </c>
      <c r="AD4" s="19">
        <f t="shared" si="10"/>
        <v>31</v>
      </c>
      <c r="AE4" s="19">
        <f t="shared" si="10"/>
        <v>31</v>
      </c>
      <c r="AF4" s="19">
        <f t="shared" si="10"/>
        <v>29</v>
      </c>
      <c r="AG4" s="19">
        <f t="shared" si="10"/>
        <v>31</v>
      </c>
      <c r="AH4" s="19">
        <f t="shared" si="10"/>
        <v>30</v>
      </c>
      <c r="AI4" s="19">
        <f t="shared" si="10"/>
        <v>31</v>
      </c>
      <c r="AJ4" s="19">
        <f t="shared" si="10"/>
        <v>30</v>
      </c>
      <c r="AK4" s="19">
        <f t="shared" si="10"/>
        <v>31</v>
      </c>
      <c r="AL4" s="19">
        <f t="shared" ref="AL4:BH4" si="11">AM3-AL3</f>
        <v>31</v>
      </c>
      <c r="AM4" s="19">
        <f t="shared" si="11"/>
        <v>30</v>
      </c>
      <c r="AN4" s="19">
        <f t="shared" si="11"/>
        <v>31</v>
      </c>
      <c r="AO4" s="19">
        <f t="shared" si="11"/>
        <v>30</v>
      </c>
      <c r="AP4" s="19">
        <f t="shared" si="11"/>
        <v>31</v>
      </c>
      <c r="AQ4" s="19">
        <f t="shared" si="11"/>
        <v>31</v>
      </c>
      <c r="AR4" s="19">
        <f t="shared" si="11"/>
        <v>28</v>
      </c>
      <c r="AS4" s="19">
        <f t="shared" si="11"/>
        <v>31</v>
      </c>
      <c r="AT4" s="19">
        <f t="shared" si="11"/>
        <v>30</v>
      </c>
      <c r="AU4" s="19">
        <f t="shared" si="11"/>
        <v>31</v>
      </c>
      <c r="AV4" s="19">
        <f t="shared" si="11"/>
        <v>30</v>
      </c>
      <c r="AW4" s="19">
        <f t="shared" si="11"/>
        <v>31</v>
      </c>
      <c r="AX4" s="19">
        <f t="shared" si="11"/>
        <v>31</v>
      </c>
      <c r="AY4" s="19">
        <f t="shared" si="11"/>
        <v>30</v>
      </c>
      <c r="AZ4" s="19">
        <f t="shared" si="11"/>
        <v>31</v>
      </c>
      <c r="BA4" s="19">
        <f t="shared" si="11"/>
        <v>30</v>
      </c>
      <c r="BB4" s="19">
        <f t="shared" si="11"/>
        <v>31</v>
      </c>
      <c r="BC4" s="19">
        <f t="shared" si="11"/>
        <v>31</v>
      </c>
      <c r="BD4" s="19">
        <f t="shared" si="11"/>
        <v>28</v>
      </c>
      <c r="BE4" s="19">
        <f t="shared" si="11"/>
        <v>31</v>
      </c>
      <c r="BF4" s="19">
        <f t="shared" si="11"/>
        <v>30</v>
      </c>
      <c r="BG4" s="19">
        <f t="shared" si="11"/>
        <v>31</v>
      </c>
      <c r="BH4" s="19">
        <f t="shared" si="11"/>
        <v>30</v>
      </c>
      <c r="BI4" s="19">
        <f t="shared" ref="BI4:BJ4" si="12">BJ3-BI3</f>
        <v>31</v>
      </c>
      <c r="BJ4" s="19">
        <f t="shared" si="12"/>
        <v>31</v>
      </c>
    </row>
    <row r="5" spans="1:69">
      <c r="A5" s="18" t="s">
        <v>9</v>
      </c>
      <c r="B5" s="18"/>
      <c r="C5" s="19">
        <v>1</v>
      </c>
      <c r="D5" s="19">
        <f>C5+1</f>
        <v>2</v>
      </c>
      <c r="E5" s="19">
        <f t="shared" ref="E5:AL5" si="13">D5+1</f>
        <v>3</v>
      </c>
      <c r="F5" s="19">
        <f t="shared" si="13"/>
        <v>4</v>
      </c>
      <c r="G5" s="19">
        <f t="shared" si="13"/>
        <v>5</v>
      </c>
      <c r="H5" s="19">
        <f t="shared" si="13"/>
        <v>6</v>
      </c>
      <c r="I5" s="19">
        <f t="shared" si="13"/>
        <v>7</v>
      </c>
      <c r="J5" s="19">
        <f t="shared" si="13"/>
        <v>8</v>
      </c>
      <c r="K5" s="19">
        <f t="shared" si="13"/>
        <v>9</v>
      </c>
      <c r="L5" s="19">
        <f t="shared" si="13"/>
        <v>10</v>
      </c>
      <c r="M5" s="19">
        <f t="shared" si="13"/>
        <v>11</v>
      </c>
      <c r="N5" s="19">
        <f t="shared" si="13"/>
        <v>12</v>
      </c>
      <c r="O5" s="19">
        <f t="shared" si="13"/>
        <v>13</v>
      </c>
      <c r="P5" s="19">
        <f t="shared" si="13"/>
        <v>14</v>
      </c>
      <c r="Q5" s="19">
        <f t="shared" si="13"/>
        <v>15</v>
      </c>
      <c r="R5" s="19">
        <f t="shared" si="13"/>
        <v>16</v>
      </c>
      <c r="S5" s="19">
        <f t="shared" si="13"/>
        <v>17</v>
      </c>
      <c r="T5" s="19">
        <f t="shared" si="13"/>
        <v>18</v>
      </c>
      <c r="U5" s="19">
        <f t="shared" si="13"/>
        <v>19</v>
      </c>
      <c r="V5" s="19">
        <f t="shared" si="13"/>
        <v>20</v>
      </c>
      <c r="W5" s="19">
        <f t="shared" si="13"/>
        <v>21</v>
      </c>
      <c r="X5" s="19">
        <f t="shared" si="13"/>
        <v>22</v>
      </c>
      <c r="Y5" s="19">
        <f t="shared" si="13"/>
        <v>23</v>
      </c>
      <c r="Z5" s="19">
        <f t="shared" si="13"/>
        <v>24</v>
      </c>
      <c r="AA5" s="19">
        <f t="shared" si="13"/>
        <v>25</v>
      </c>
      <c r="AB5" s="19">
        <f t="shared" si="13"/>
        <v>26</v>
      </c>
      <c r="AC5" s="19">
        <f t="shared" si="13"/>
        <v>27</v>
      </c>
      <c r="AD5" s="19">
        <f t="shared" si="13"/>
        <v>28</v>
      </c>
      <c r="AE5" s="19">
        <f t="shared" si="13"/>
        <v>29</v>
      </c>
      <c r="AF5" s="19">
        <f t="shared" si="13"/>
        <v>30</v>
      </c>
      <c r="AG5" s="19">
        <f t="shared" si="13"/>
        <v>31</v>
      </c>
      <c r="AH5" s="19">
        <f t="shared" si="13"/>
        <v>32</v>
      </c>
      <c r="AI5" s="19">
        <f t="shared" si="13"/>
        <v>33</v>
      </c>
      <c r="AJ5" s="19">
        <f>AI5+1</f>
        <v>34</v>
      </c>
      <c r="AK5" s="19">
        <f t="shared" si="13"/>
        <v>35</v>
      </c>
      <c r="AL5" s="19">
        <f t="shared" si="13"/>
        <v>36</v>
      </c>
      <c r="AM5" s="19">
        <f t="shared" ref="AM5:BI5" si="14">AL5+1</f>
        <v>37</v>
      </c>
      <c r="AN5" s="19">
        <f t="shared" si="14"/>
        <v>38</v>
      </c>
      <c r="AO5" s="19">
        <f t="shared" si="14"/>
        <v>39</v>
      </c>
      <c r="AP5" s="19">
        <f t="shared" si="14"/>
        <v>40</v>
      </c>
      <c r="AQ5" s="19">
        <f t="shared" si="14"/>
        <v>41</v>
      </c>
      <c r="AR5" s="19">
        <f t="shared" si="14"/>
        <v>42</v>
      </c>
      <c r="AS5" s="19">
        <f t="shared" si="14"/>
        <v>43</v>
      </c>
      <c r="AT5" s="19">
        <f t="shared" si="14"/>
        <v>44</v>
      </c>
      <c r="AU5" s="19">
        <f t="shared" si="14"/>
        <v>45</v>
      </c>
      <c r="AV5" s="19">
        <f t="shared" si="14"/>
        <v>46</v>
      </c>
      <c r="AW5" s="19">
        <f t="shared" si="14"/>
        <v>47</v>
      </c>
      <c r="AX5" s="19">
        <f t="shared" si="14"/>
        <v>48</v>
      </c>
      <c r="AY5" s="19">
        <f t="shared" si="14"/>
        <v>49</v>
      </c>
      <c r="AZ5" s="19">
        <f t="shared" si="14"/>
        <v>50</v>
      </c>
      <c r="BA5" s="19">
        <f t="shared" si="14"/>
        <v>51</v>
      </c>
      <c r="BB5" s="19">
        <f t="shared" si="14"/>
        <v>52</v>
      </c>
      <c r="BC5" s="19">
        <f t="shared" si="14"/>
        <v>53</v>
      </c>
      <c r="BD5" s="19">
        <f t="shared" si="14"/>
        <v>54</v>
      </c>
      <c r="BE5" s="19">
        <f t="shared" si="14"/>
        <v>55</v>
      </c>
      <c r="BF5" s="19">
        <f t="shared" si="14"/>
        <v>56</v>
      </c>
      <c r="BG5" s="19">
        <f t="shared" si="14"/>
        <v>57</v>
      </c>
      <c r="BH5" s="19">
        <f t="shared" si="14"/>
        <v>58</v>
      </c>
      <c r="BI5" s="19">
        <f t="shared" si="14"/>
        <v>59</v>
      </c>
      <c r="BJ5" s="19">
        <f t="shared" ref="BJ5" si="15">BI5+1</f>
        <v>60</v>
      </c>
    </row>
    <row r="6" spans="1:69">
      <c r="A6" s="6"/>
      <c r="B6" s="6"/>
      <c r="C6" s="150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</row>
    <row r="7" spans="1:69">
      <c r="A7" s="18" t="s">
        <v>252</v>
      </c>
      <c r="B7" s="19" t="s">
        <v>222</v>
      </c>
      <c r="C7" s="4"/>
      <c r="D7" s="4"/>
      <c r="E7" s="4"/>
      <c r="F7" s="4"/>
      <c r="G7" s="4"/>
      <c r="H7" s="4"/>
      <c r="I7" s="4"/>
      <c r="J7" s="150"/>
      <c r="K7" s="150"/>
      <c r="L7" s="150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</row>
    <row r="8" spans="1:69" ht="14.1" customHeight="1">
      <c r="A8" s="30" t="s">
        <v>91</v>
      </c>
      <c r="B8" s="53" t="s">
        <v>91</v>
      </c>
      <c r="C8" s="99">
        <f>Персонал!C$60</f>
        <v>0</v>
      </c>
      <c r="D8" s="99">
        <f>Персонал!D$60</f>
        <v>0</v>
      </c>
      <c r="E8" s="99">
        <f>Персонал!E$60</f>
        <v>0</v>
      </c>
      <c r="F8" s="99">
        <f>Персонал!F$60</f>
        <v>5359</v>
      </c>
      <c r="G8" s="99">
        <f>Персонал!G$60</f>
        <v>5519.77</v>
      </c>
      <c r="H8" s="99">
        <f>Персонал!H$60</f>
        <v>5519.77</v>
      </c>
      <c r="I8" s="99">
        <f>Персонал!I$60</f>
        <v>5519.77</v>
      </c>
      <c r="J8" s="99">
        <f>Персонал!J$60</f>
        <v>5519.77</v>
      </c>
      <c r="K8" s="99">
        <f>Персонал!K$60</f>
        <v>5519.77</v>
      </c>
      <c r="L8" s="99">
        <f>Персонал!L$60</f>
        <v>5519.77</v>
      </c>
      <c r="M8" s="99">
        <f>Персонал!M$60</f>
        <v>5519.77</v>
      </c>
      <c r="N8" s="99">
        <f>Персонал!N$60</f>
        <v>5519.77</v>
      </c>
      <c r="O8" s="99">
        <f>Персонал!O$60</f>
        <v>5519.77</v>
      </c>
      <c r="P8" s="99">
        <f>Персонал!P$60</f>
        <v>5519.77</v>
      </c>
      <c r="Q8" s="99">
        <f>Персонал!Q$60</f>
        <v>5519.77</v>
      </c>
      <c r="R8" s="99">
        <f>Персонал!R$60</f>
        <v>5519.77</v>
      </c>
      <c r="S8" s="99">
        <f>Персонал!S$60</f>
        <v>5685.3630999999996</v>
      </c>
      <c r="T8" s="99">
        <f>Персонал!T$60</f>
        <v>5685.3630999999996</v>
      </c>
      <c r="U8" s="99">
        <f>Персонал!U$60</f>
        <v>5685.3630999999996</v>
      </c>
      <c r="V8" s="99">
        <f>Персонал!V$60</f>
        <v>5685.3630999999996</v>
      </c>
      <c r="W8" s="99">
        <f>Персонал!W$60</f>
        <v>5685.3630999999996</v>
      </c>
      <c r="X8" s="99">
        <f>Персонал!X$60</f>
        <v>5685.3630999999996</v>
      </c>
      <c r="Y8" s="99">
        <f>Персонал!Y$60</f>
        <v>5685.3630999999996</v>
      </c>
      <c r="Z8" s="99">
        <f>Персонал!Z$60</f>
        <v>5685.3630999999996</v>
      </c>
      <c r="AA8" s="99">
        <f>Персонал!AA$60</f>
        <v>5685.3630999999996</v>
      </c>
      <c r="AB8" s="99">
        <f>Персонал!AB$60</f>
        <v>5685.3630999999996</v>
      </c>
      <c r="AC8" s="99">
        <f>Персонал!AC$60</f>
        <v>5685.3630999999996</v>
      </c>
      <c r="AD8" s="99">
        <f>Персонал!AD$60</f>
        <v>5685.3630999999996</v>
      </c>
      <c r="AE8" s="99">
        <f>Персонал!AE$60</f>
        <v>5855.9239930000003</v>
      </c>
      <c r="AF8" s="99">
        <f>Персонал!AF$60</f>
        <v>5855.9239930000003</v>
      </c>
      <c r="AG8" s="99">
        <f>Персонал!AG$60</f>
        <v>5855.9239930000003</v>
      </c>
      <c r="AH8" s="99">
        <f>Персонал!AH$60</f>
        <v>5855.9239930000003</v>
      </c>
      <c r="AI8" s="99">
        <f>Персонал!AI$60</f>
        <v>5855.9239930000003</v>
      </c>
      <c r="AJ8" s="99">
        <f>Персонал!AJ$60</f>
        <v>5855.9239930000003</v>
      </c>
      <c r="AK8" s="99">
        <f>Персонал!AK$60</f>
        <v>5855.9239930000003</v>
      </c>
      <c r="AL8" s="99">
        <f>Персонал!AL$60</f>
        <v>5855.9239930000003</v>
      </c>
      <c r="AM8" s="99">
        <f>Персонал!AM$60</f>
        <v>5855.9239930000003</v>
      </c>
      <c r="AN8" s="99">
        <f>Персонал!AN$60</f>
        <v>5855.9239930000003</v>
      </c>
      <c r="AO8" s="99">
        <f>Персонал!AO$60</f>
        <v>5855.9239930000003</v>
      </c>
      <c r="AP8" s="99">
        <f>Персонал!AP$60</f>
        <v>5855.9239930000003</v>
      </c>
      <c r="AQ8" s="99">
        <f>Персонал!AQ$60</f>
        <v>6031.6017127899995</v>
      </c>
      <c r="AR8" s="99">
        <f>Персонал!AR$60</f>
        <v>6031.6017127899995</v>
      </c>
      <c r="AS8" s="99">
        <f>Персонал!AS$60</f>
        <v>6031.6017127899995</v>
      </c>
      <c r="AT8" s="99">
        <f>Персонал!AT$60</f>
        <v>6031.6017127899995</v>
      </c>
      <c r="AU8" s="99">
        <f>Персонал!AU$60</f>
        <v>6031.6017127899995</v>
      </c>
      <c r="AV8" s="99">
        <f>Персонал!AV$60</f>
        <v>6031.6017127899995</v>
      </c>
      <c r="AW8" s="99">
        <f>Персонал!AW$60</f>
        <v>6031.6017127899995</v>
      </c>
      <c r="AX8" s="99">
        <f>Персонал!AX$60</f>
        <v>6031.6017127899995</v>
      </c>
      <c r="AY8" s="99">
        <f>Персонал!AY$60</f>
        <v>6031.6017127899995</v>
      </c>
      <c r="AZ8" s="99">
        <f>Персонал!AZ$60</f>
        <v>6031.6017127899995</v>
      </c>
      <c r="BA8" s="99">
        <f>Персонал!BA$60</f>
        <v>6031.6017127899995</v>
      </c>
      <c r="BB8" s="99">
        <f>Персонал!BB$60</f>
        <v>6031.6017127899995</v>
      </c>
      <c r="BC8" s="99">
        <f>Персонал!BC$60</f>
        <v>6212.5497641736993</v>
      </c>
      <c r="BD8" s="99">
        <f>Персонал!BD$60</f>
        <v>6212.5497641736993</v>
      </c>
      <c r="BE8" s="99">
        <f>Персонал!BE$60</f>
        <v>6212.5497641736993</v>
      </c>
      <c r="BF8" s="99">
        <f>Персонал!BF$60</f>
        <v>6212.5497641736993</v>
      </c>
      <c r="BG8" s="99">
        <f>Персонал!BG$60</f>
        <v>6212.5497641736993</v>
      </c>
      <c r="BH8" s="99">
        <f>Персонал!BH$60</f>
        <v>6212.5497641736993</v>
      </c>
      <c r="BI8" s="99">
        <f>Персонал!BI$60</f>
        <v>6212.5497641736993</v>
      </c>
      <c r="BJ8" s="99">
        <f>Персонал!BJ$60</f>
        <v>6212.5497641736993</v>
      </c>
      <c r="BL8" s="25">
        <f t="shared" ref="BL8:BQ20" si="16">SUMIF($C$2:$BJ$2,BL$2,$C8:$BJ8)</f>
        <v>5359</v>
      </c>
      <c r="BM8" s="25">
        <f t="shared" si="16"/>
        <v>66237.24000000002</v>
      </c>
      <c r="BN8" s="25">
        <f t="shared" si="16"/>
        <v>68224.357200000013</v>
      </c>
      <c r="BO8" s="25">
        <f t="shared" si="16"/>
        <v>70271.087916000019</v>
      </c>
      <c r="BP8" s="25">
        <f t="shared" si="16"/>
        <v>72379.220553479987</v>
      </c>
      <c r="BQ8" s="25">
        <f t="shared" si="16"/>
        <v>49700.398113389601</v>
      </c>
    </row>
    <row r="9" spans="1:69" ht="28.35" customHeight="1">
      <c r="A9" s="30" t="s">
        <v>92</v>
      </c>
      <c r="B9" s="53" t="s">
        <v>223</v>
      </c>
      <c r="C9" s="99">
        <f>Персонал!C$86</f>
        <v>0</v>
      </c>
      <c r="D9" s="99">
        <f>Персонал!D$86</f>
        <v>0</v>
      </c>
      <c r="E9" s="99">
        <f>Персонал!E$86</f>
        <v>0</v>
      </c>
      <c r="F9" s="99">
        <f>Персонал!F$86</f>
        <v>2304.37</v>
      </c>
      <c r="G9" s="99">
        <f>Персонал!G$86</f>
        <v>2373.5011</v>
      </c>
      <c r="H9" s="99">
        <f>Персонал!H$86</f>
        <v>2373.5011</v>
      </c>
      <c r="I9" s="99">
        <f>Персонал!I$86</f>
        <v>2373.5011</v>
      </c>
      <c r="J9" s="99">
        <f>Персонал!J$86</f>
        <v>2373.5011</v>
      </c>
      <c r="K9" s="99">
        <f>Персонал!K$86</f>
        <v>2373.5011</v>
      </c>
      <c r="L9" s="99">
        <f>Персонал!L$86</f>
        <v>2373.5011</v>
      </c>
      <c r="M9" s="99">
        <f>Персонал!M$86</f>
        <v>2373.5011</v>
      </c>
      <c r="N9" s="99">
        <f>Персонал!N$86</f>
        <v>2373.5011</v>
      </c>
      <c r="O9" s="99">
        <f>Персонал!O$86</f>
        <v>2373.5011</v>
      </c>
      <c r="P9" s="99">
        <f>Персонал!P$86</f>
        <v>2373.5011</v>
      </c>
      <c r="Q9" s="99">
        <f>Персонал!Q$86</f>
        <v>2373.5011</v>
      </c>
      <c r="R9" s="99">
        <f>Персонал!R$86</f>
        <v>2373.5011</v>
      </c>
      <c r="S9" s="99">
        <f>Персонал!S$86</f>
        <v>2444.7061329999997</v>
      </c>
      <c r="T9" s="99">
        <f>Персонал!T$86</f>
        <v>2444.7061329999997</v>
      </c>
      <c r="U9" s="99">
        <f>Персонал!U$86</f>
        <v>2444.7061329999997</v>
      </c>
      <c r="V9" s="99">
        <f>Персонал!V$86</f>
        <v>2444.7061329999997</v>
      </c>
      <c r="W9" s="99">
        <f>Персонал!W$86</f>
        <v>2444.7061329999997</v>
      </c>
      <c r="X9" s="99">
        <f>Персонал!X$86</f>
        <v>2444.7061329999997</v>
      </c>
      <c r="Y9" s="99">
        <f>Персонал!Y$86</f>
        <v>2444.7061329999997</v>
      </c>
      <c r="Z9" s="99">
        <f>Персонал!Z$86</f>
        <v>2444.7061329999997</v>
      </c>
      <c r="AA9" s="99">
        <f>Персонал!AA$86</f>
        <v>2444.7061329999997</v>
      </c>
      <c r="AB9" s="99">
        <f>Персонал!AB$86</f>
        <v>2444.7061329999997</v>
      </c>
      <c r="AC9" s="99">
        <f>Персонал!AC$86</f>
        <v>2444.7061329999997</v>
      </c>
      <c r="AD9" s="99">
        <f>Персонал!AD$86</f>
        <v>2444.7061329999997</v>
      </c>
      <c r="AE9" s="99">
        <f>Персонал!AE$86</f>
        <v>2518.0473169899997</v>
      </c>
      <c r="AF9" s="99">
        <f>Персонал!AF$86</f>
        <v>2518.0473169899997</v>
      </c>
      <c r="AG9" s="99">
        <f>Персонал!AG$86</f>
        <v>2518.0473169899997</v>
      </c>
      <c r="AH9" s="99">
        <f>Персонал!AH$86</f>
        <v>2518.0473169899997</v>
      </c>
      <c r="AI9" s="99">
        <f>Персонал!AI$86</f>
        <v>2518.0473169899997</v>
      </c>
      <c r="AJ9" s="99">
        <f>Персонал!AJ$86</f>
        <v>2518.0473169899997</v>
      </c>
      <c r="AK9" s="99">
        <f>Персонал!AK$86</f>
        <v>2518.0473169899997</v>
      </c>
      <c r="AL9" s="99">
        <f>Персонал!AL$86</f>
        <v>2518.0473169899997</v>
      </c>
      <c r="AM9" s="99">
        <f>Персонал!AM$86</f>
        <v>2518.0473169899997</v>
      </c>
      <c r="AN9" s="99">
        <f>Персонал!AN$86</f>
        <v>2518.0473169899997</v>
      </c>
      <c r="AO9" s="99">
        <f>Персонал!AO$86</f>
        <v>2518.0473169899997</v>
      </c>
      <c r="AP9" s="99">
        <f>Персонал!AP$86</f>
        <v>2518.0473169899997</v>
      </c>
      <c r="AQ9" s="99">
        <f>Персонал!AQ$86</f>
        <v>2593.5887364997002</v>
      </c>
      <c r="AR9" s="99">
        <f>Персонал!AR$86</f>
        <v>2593.5887364997002</v>
      </c>
      <c r="AS9" s="99">
        <f>Персонал!AS$86</f>
        <v>2593.5887364997002</v>
      </c>
      <c r="AT9" s="99">
        <f>Персонал!AT$86</f>
        <v>2593.5887364997002</v>
      </c>
      <c r="AU9" s="99">
        <f>Персонал!AU$86</f>
        <v>2593.5887364997002</v>
      </c>
      <c r="AV9" s="99">
        <f>Персонал!AV$86</f>
        <v>2593.5887364997002</v>
      </c>
      <c r="AW9" s="99">
        <f>Персонал!AW$86</f>
        <v>2593.5887364997002</v>
      </c>
      <c r="AX9" s="99">
        <f>Персонал!AX$86</f>
        <v>2593.5887364997002</v>
      </c>
      <c r="AY9" s="99">
        <f>Персонал!AY$86</f>
        <v>2593.5887364997002</v>
      </c>
      <c r="AZ9" s="99">
        <f>Персонал!AZ$86</f>
        <v>2593.5887364997002</v>
      </c>
      <c r="BA9" s="99">
        <f>Персонал!BA$86</f>
        <v>2593.5887364997002</v>
      </c>
      <c r="BB9" s="99">
        <f>Персонал!BB$86</f>
        <v>2593.5887364997002</v>
      </c>
      <c r="BC9" s="99">
        <f>Персонал!BC$86</f>
        <v>2671.3963985946907</v>
      </c>
      <c r="BD9" s="99">
        <f>Персонал!BD$86</f>
        <v>2671.3963985946907</v>
      </c>
      <c r="BE9" s="99">
        <f>Персонал!BE$86</f>
        <v>2671.3963985946907</v>
      </c>
      <c r="BF9" s="99">
        <f>Персонал!BF$86</f>
        <v>2671.3963985946907</v>
      </c>
      <c r="BG9" s="99">
        <f>Персонал!BG$86</f>
        <v>2671.3963985946907</v>
      </c>
      <c r="BH9" s="99">
        <f>Персонал!BH$86</f>
        <v>2671.3963985946907</v>
      </c>
      <c r="BI9" s="99">
        <f>Персонал!BI$86</f>
        <v>2671.3963985946907</v>
      </c>
      <c r="BJ9" s="99">
        <f>Персонал!BJ$86</f>
        <v>2671.3963985946907</v>
      </c>
      <c r="BL9" s="25">
        <f t="shared" si="16"/>
        <v>2304.37</v>
      </c>
      <c r="BM9" s="25">
        <f t="shared" si="16"/>
        <v>28482.013200000005</v>
      </c>
      <c r="BN9" s="25">
        <f t="shared" si="16"/>
        <v>29336.473595999996</v>
      </c>
      <c r="BO9" s="25">
        <f t="shared" si="16"/>
        <v>30216.567803879996</v>
      </c>
      <c r="BP9" s="25">
        <f t="shared" si="16"/>
        <v>31123.0648379964</v>
      </c>
      <c r="BQ9" s="25">
        <f t="shared" si="16"/>
        <v>21371.171188757526</v>
      </c>
    </row>
    <row r="10" spans="1:69" ht="29.45" customHeight="1">
      <c r="A10" s="30" t="str">
        <f>Допущения!A32</f>
        <v>Свиные полутуши</v>
      </c>
      <c r="B10" s="53" t="s">
        <v>213</v>
      </c>
      <c r="C10" s="99">
        <f>'Объемы реализации'!D8*Цены!L25/1000</f>
        <v>0</v>
      </c>
      <c r="D10" s="99">
        <f>'Объемы реализации'!E8*Цены!M25/1000</f>
        <v>0</v>
      </c>
      <c r="E10" s="99">
        <f>'Объемы реализации'!F8*Цены!N25/1000</f>
        <v>6400</v>
      </c>
      <c r="F10" s="99">
        <f>'Объемы реализации'!G8*Цены!O25/1000</f>
        <v>12800</v>
      </c>
      <c r="G10" s="99">
        <f>'Объемы реализации'!H8*Цены!P25/1000</f>
        <v>20160.000000000004</v>
      </c>
      <c r="H10" s="99">
        <f>'Объемы реализации'!I8*Цены!Q25/1000</f>
        <v>26880.000000000004</v>
      </c>
      <c r="I10" s="99">
        <f>'Объемы реализации'!J8*Цены!R25/1000</f>
        <v>33600.000000000007</v>
      </c>
      <c r="J10" s="99">
        <f>'Объемы реализации'!K8*Цены!S25/1000</f>
        <v>33600.000000000007</v>
      </c>
      <c r="K10" s="99">
        <f>'Объемы реализации'!L8*Цены!T25/1000</f>
        <v>33600.000000000007</v>
      </c>
      <c r="L10" s="99">
        <f>'Объемы реализации'!M8*Цены!U25/1000</f>
        <v>33600.000000000007</v>
      </c>
      <c r="M10" s="99">
        <f>'Объемы реализации'!N8*Цены!V25/1000</f>
        <v>33600.000000000007</v>
      </c>
      <c r="N10" s="99">
        <f>'Объемы реализации'!O8*Цены!W25/1000</f>
        <v>33600.000000000007</v>
      </c>
      <c r="O10" s="99">
        <f>'Объемы реализации'!P8*Цены!X25/1000</f>
        <v>33600.000000000007</v>
      </c>
      <c r="P10" s="99">
        <f>'Объемы реализации'!Q8*Цены!Y25/1000</f>
        <v>33600.000000000007</v>
      </c>
      <c r="Q10" s="99">
        <f>'Объемы реализации'!R8*Цены!Z25/1000</f>
        <v>33600.000000000007</v>
      </c>
      <c r="R10" s="99">
        <f>'Объемы реализации'!S8*Цены!AA25/1000</f>
        <v>33600.000000000007</v>
      </c>
      <c r="S10" s="99">
        <f>'Объемы реализации'!T8*Цены!AB25/1000</f>
        <v>35280.000000000007</v>
      </c>
      <c r="T10" s="99">
        <f>'Объемы реализации'!U8*Цены!AC25/1000</f>
        <v>35280.000000000007</v>
      </c>
      <c r="U10" s="99">
        <f>'Объемы реализации'!V8*Цены!AD25/1000</f>
        <v>35280.000000000007</v>
      </c>
      <c r="V10" s="99">
        <f>'Объемы реализации'!W8*Цены!AE25/1000</f>
        <v>35280.000000000007</v>
      </c>
      <c r="W10" s="99">
        <f>'Объемы реализации'!X8*Цены!AF25/1000</f>
        <v>35280.000000000007</v>
      </c>
      <c r="X10" s="99">
        <f>'Объемы реализации'!Y8*Цены!AG25/1000</f>
        <v>35280.000000000007</v>
      </c>
      <c r="Y10" s="99">
        <f>'Объемы реализации'!Z8*Цены!AH25/1000</f>
        <v>35280.000000000007</v>
      </c>
      <c r="Z10" s="99">
        <f>'Объемы реализации'!AA8*Цены!AI25/1000</f>
        <v>35280.000000000007</v>
      </c>
      <c r="AA10" s="99">
        <f>'Объемы реализации'!AB8*Цены!AJ25/1000</f>
        <v>35280.000000000007</v>
      </c>
      <c r="AB10" s="99">
        <f>'Объемы реализации'!AC8*Цены!AK25/1000</f>
        <v>35280.000000000007</v>
      </c>
      <c r="AC10" s="99">
        <f>'Объемы реализации'!AD8*Цены!AL25/1000</f>
        <v>35280.000000000007</v>
      </c>
      <c r="AD10" s="99">
        <f>'Объемы реализации'!AE8*Цены!AM25/1000</f>
        <v>35280.000000000007</v>
      </c>
      <c r="AE10" s="99">
        <f>'Объемы реализации'!AF8*Цены!AN25/1000</f>
        <v>37044.000000000007</v>
      </c>
      <c r="AF10" s="99">
        <f>'Объемы реализации'!AG8*Цены!AO25/1000</f>
        <v>37044.000000000007</v>
      </c>
      <c r="AG10" s="99">
        <f>'Объемы реализации'!AH8*Цены!AP25/1000</f>
        <v>37044.000000000007</v>
      </c>
      <c r="AH10" s="99">
        <f>'Объемы реализации'!AI8*Цены!AQ25/1000</f>
        <v>37044.000000000007</v>
      </c>
      <c r="AI10" s="99">
        <f>'Объемы реализации'!AJ8*Цены!AR25/1000</f>
        <v>37044.000000000007</v>
      </c>
      <c r="AJ10" s="99">
        <f>'Объемы реализации'!AK8*Цены!AS25/1000</f>
        <v>37044.000000000007</v>
      </c>
      <c r="AK10" s="99">
        <f>'Объемы реализации'!AL8*Цены!AT25/1000</f>
        <v>37044.000000000007</v>
      </c>
      <c r="AL10" s="99">
        <f>'Объемы реализации'!AM8*Цены!AU25/1000</f>
        <v>37044.000000000007</v>
      </c>
      <c r="AM10" s="99">
        <f>'Объемы реализации'!AN8*Цены!AV25/1000</f>
        <v>37044.000000000007</v>
      </c>
      <c r="AN10" s="99">
        <f>'Объемы реализации'!AO8*Цены!AW25/1000</f>
        <v>37044.000000000007</v>
      </c>
      <c r="AO10" s="99">
        <f>'Объемы реализации'!AP8*Цены!AX25/1000</f>
        <v>37044.000000000007</v>
      </c>
      <c r="AP10" s="99">
        <f>'Объемы реализации'!AQ8*Цены!AY25/1000</f>
        <v>37044.000000000007</v>
      </c>
      <c r="AQ10" s="99">
        <f>'Объемы реализации'!AR8*Цены!AZ25/1000</f>
        <v>38896.200000000012</v>
      </c>
      <c r="AR10" s="99">
        <f>'Объемы реализации'!AS8*Цены!BA25/1000</f>
        <v>38896.200000000012</v>
      </c>
      <c r="AS10" s="99">
        <f>'Объемы реализации'!AT8*Цены!BB25/1000</f>
        <v>38896.200000000012</v>
      </c>
      <c r="AT10" s="99">
        <f>'Объемы реализации'!AU8*Цены!BC25/1000</f>
        <v>38896.200000000012</v>
      </c>
      <c r="AU10" s="99">
        <f>'Объемы реализации'!AV8*Цены!BD25/1000</f>
        <v>38896.200000000012</v>
      </c>
      <c r="AV10" s="99">
        <f>'Объемы реализации'!AW8*Цены!BE25/1000</f>
        <v>38896.200000000012</v>
      </c>
      <c r="AW10" s="99">
        <f>'Объемы реализации'!AX8*Цены!BF25/1000</f>
        <v>38896.200000000012</v>
      </c>
      <c r="AX10" s="99">
        <f>'Объемы реализации'!AY8*Цены!BG25/1000</f>
        <v>38896.200000000012</v>
      </c>
      <c r="AY10" s="99">
        <f>'Объемы реализации'!AZ8*Цены!BH25/1000</f>
        <v>38896.200000000012</v>
      </c>
      <c r="AZ10" s="99">
        <f>'Объемы реализации'!BA8*Цены!BI25/1000</f>
        <v>38896.200000000012</v>
      </c>
      <c r="BA10" s="99">
        <f>'Объемы реализации'!BB8*Цены!BJ25/1000</f>
        <v>38896.200000000012</v>
      </c>
      <c r="BB10" s="99">
        <f>'Объемы реализации'!BC8*Цены!BK25/1000</f>
        <v>38896.200000000012</v>
      </c>
      <c r="BC10" s="99">
        <f>'Объемы реализации'!BD8*Цены!BL25/1000</f>
        <v>40841.010000000017</v>
      </c>
      <c r="BD10" s="99">
        <f>'Объемы реализации'!BE8*Цены!BM25/1000</f>
        <v>40841.010000000017</v>
      </c>
      <c r="BE10" s="99">
        <f>'Объемы реализации'!BF8*Цены!BN25/1000</f>
        <v>40841.010000000017</v>
      </c>
      <c r="BF10" s="99">
        <f>'Объемы реализации'!BG8*Цены!BO25/1000</f>
        <v>40841.010000000017</v>
      </c>
      <c r="BG10" s="99">
        <f>'Объемы реализации'!BH8*Цены!BP25/1000</f>
        <v>40841.010000000017</v>
      </c>
      <c r="BH10" s="99">
        <f>'Объемы реализации'!BI8*Цены!BQ25/1000</f>
        <v>40841.010000000017</v>
      </c>
      <c r="BI10" s="99">
        <f>'Объемы реализации'!BJ8*Цены!BR25/1000</f>
        <v>40841.010000000017</v>
      </c>
      <c r="BJ10" s="99">
        <f>'Объемы реализации'!BK8*Цены!BS25/1000</f>
        <v>0</v>
      </c>
      <c r="BL10" s="25">
        <f t="shared" si="16"/>
        <v>19200</v>
      </c>
      <c r="BM10" s="25">
        <f t="shared" si="16"/>
        <v>383040.00000000006</v>
      </c>
      <c r="BN10" s="25">
        <f t="shared" si="16"/>
        <v>423360.00000000006</v>
      </c>
      <c r="BO10" s="25">
        <f t="shared" si="16"/>
        <v>444528.00000000006</v>
      </c>
      <c r="BP10" s="25">
        <f t="shared" si="16"/>
        <v>466754.40000000014</v>
      </c>
      <c r="BQ10" s="25">
        <f t="shared" si="16"/>
        <v>285887.07000000012</v>
      </c>
    </row>
    <row r="11" spans="1:69" ht="14.1" customHeight="1">
      <c r="A11" s="30" t="str">
        <f>Допущения!A33</f>
        <v>Говядина четверти</v>
      </c>
      <c r="B11" s="53" t="s">
        <v>213</v>
      </c>
      <c r="C11" s="99">
        <f>'Объемы реализации'!D9*Цены!L26/1000</f>
        <v>0</v>
      </c>
      <c r="D11" s="99">
        <f>'Объемы реализации'!E9*Цены!M26/1000</f>
        <v>0</v>
      </c>
      <c r="E11" s="99">
        <f>'Объемы реализации'!F9*Цены!N26/1000</f>
        <v>3200</v>
      </c>
      <c r="F11" s="99">
        <f>'Объемы реализации'!G9*Цены!O26/1000</f>
        <v>6400</v>
      </c>
      <c r="G11" s="99">
        <f>'Объемы реализации'!H9*Цены!P26/1000</f>
        <v>10080.000000000002</v>
      </c>
      <c r="H11" s="99">
        <f>'Объемы реализации'!I9*Цены!Q26/1000</f>
        <v>13440.000000000002</v>
      </c>
      <c r="I11" s="99">
        <f>'Объемы реализации'!J9*Цены!R26/1000</f>
        <v>16800.000000000004</v>
      </c>
      <c r="J11" s="99">
        <f>'Объемы реализации'!K9*Цены!S26/1000</f>
        <v>16800.000000000004</v>
      </c>
      <c r="K11" s="99">
        <f>'Объемы реализации'!L9*Цены!T26/1000</f>
        <v>16800.000000000004</v>
      </c>
      <c r="L11" s="99">
        <f>'Объемы реализации'!M9*Цены!U26/1000</f>
        <v>16800.000000000004</v>
      </c>
      <c r="M11" s="99">
        <f>'Объемы реализации'!N9*Цены!V26/1000</f>
        <v>16800.000000000004</v>
      </c>
      <c r="N11" s="99">
        <f>'Объемы реализации'!O9*Цены!W26/1000</f>
        <v>16800.000000000004</v>
      </c>
      <c r="O11" s="99">
        <f>'Объемы реализации'!P9*Цены!X26/1000</f>
        <v>16800.000000000004</v>
      </c>
      <c r="P11" s="99">
        <f>'Объемы реализации'!Q9*Цены!Y26/1000</f>
        <v>16800.000000000004</v>
      </c>
      <c r="Q11" s="99">
        <f>'Объемы реализации'!R9*Цены!Z26/1000</f>
        <v>16800.000000000004</v>
      </c>
      <c r="R11" s="99">
        <f>'Объемы реализации'!S9*Цены!AA26/1000</f>
        <v>16800.000000000004</v>
      </c>
      <c r="S11" s="99">
        <f>'Объемы реализации'!T9*Цены!AB26/1000</f>
        <v>17640.000000000004</v>
      </c>
      <c r="T11" s="99">
        <f>'Объемы реализации'!U9*Цены!AC26/1000</f>
        <v>17640.000000000004</v>
      </c>
      <c r="U11" s="99">
        <f>'Объемы реализации'!V9*Цены!AD26/1000</f>
        <v>17640.000000000004</v>
      </c>
      <c r="V11" s="99">
        <f>'Объемы реализации'!W9*Цены!AE26/1000</f>
        <v>17640.000000000004</v>
      </c>
      <c r="W11" s="99">
        <f>'Объемы реализации'!X9*Цены!AF26/1000</f>
        <v>17640.000000000004</v>
      </c>
      <c r="X11" s="99">
        <f>'Объемы реализации'!Y9*Цены!AG26/1000</f>
        <v>17640.000000000004</v>
      </c>
      <c r="Y11" s="99">
        <f>'Объемы реализации'!Z9*Цены!AH26/1000</f>
        <v>17640.000000000004</v>
      </c>
      <c r="Z11" s="99">
        <f>'Объемы реализации'!AA9*Цены!AI26/1000</f>
        <v>17640.000000000004</v>
      </c>
      <c r="AA11" s="99">
        <f>'Объемы реализации'!AB9*Цены!AJ26/1000</f>
        <v>17640.000000000004</v>
      </c>
      <c r="AB11" s="99">
        <f>'Объемы реализации'!AC9*Цены!AK26/1000</f>
        <v>17640.000000000004</v>
      </c>
      <c r="AC11" s="99">
        <f>'Объемы реализации'!AD9*Цены!AL26/1000</f>
        <v>17640.000000000004</v>
      </c>
      <c r="AD11" s="99">
        <f>'Объемы реализации'!AE9*Цены!AM26/1000</f>
        <v>17640.000000000004</v>
      </c>
      <c r="AE11" s="99">
        <f>'Объемы реализации'!AF9*Цены!AN26/1000</f>
        <v>18522.000000000004</v>
      </c>
      <c r="AF11" s="99">
        <f>'Объемы реализации'!AG9*Цены!AO26/1000</f>
        <v>18522.000000000004</v>
      </c>
      <c r="AG11" s="99">
        <f>'Объемы реализации'!AH9*Цены!AP26/1000</f>
        <v>18522.000000000004</v>
      </c>
      <c r="AH11" s="99">
        <f>'Объемы реализации'!AI9*Цены!AQ26/1000</f>
        <v>18522.000000000004</v>
      </c>
      <c r="AI11" s="99">
        <f>'Объемы реализации'!AJ9*Цены!AR26/1000</f>
        <v>18522.000000000004</v>
      </c>
      <c r="AJ11" s="99">
        <f>'Объемы реализации'!AK9*Цены!AS26/1000</f>
        <v>18522.000000000004</v>
      </c>
      <c r="AK11" s="99">
        <f>'Объемы реализации'!AL9*Цены!AT26/1000</f>
        <v>18522.000000000004</v>
      </c>
      <c r="AL11" s="99">
        <f>'Объемы реализации'!AM9*Цены!AU26/1000</f>
        <v>18522.000000000004</v>
      </c>
      <c r="AM11" s="99">
        <f>'Объемы реализации'!AN9*Цены!AV26/1000</f>
        <v>18522.000000000004</v>
      </c>
      <c r="AN11" s="99">
        <f>'Объемы реализации'!AO9*Цены!AW26/1000</f>
        <v>18522.000000000004</v>
      </c>
      <c r="AO11" s="99">
        <f>'Объемы реализации'!AP9*Цены!AX26/1000</f>
        <v>18522.000000000004</v>
      </c>
      <c r="AP11" s="99">
        <f>'Объемы реализации'!AQ9*Цены!AY26/1000</f>
        <v>18522.000000000004</v>
      </c>
      <c r="AQ11" s="99">
        <f>'Объемы реализации'!AR9*Цены!AZ26/1000</f>
        <v>19448.100000000006</v>
      </c>
      <c r="AR11" s="99">
        <f>'Объемы реализации'!AS9*Цены!BA26/1000</f>
        <v>19448.100000000006</v>
      </c>
      <c r="AS11" s="99">
        <f>'Объемы реализации'!AT9*Цены!BB26/1000</f>
        <v>19448.100000000006</v>
      </c>
      <c r="AT11" s="99">
        <f>'Объемы реализации'!AU9*Цены!BC26/1000</f>
        <v>19448.100000000006</v>
      </c>
      <c r="AU11" s="99">
        <f>'Объемы реализации'!AV9*Цены!BD26/1000</f>
        <v>19448.100000000006</v>
      </c>
      <c r="AV11" s="99">
        <f>'Объемы реализации'!AW9*Цены!BE26/1000</f>
        <v>19448.100000000006</v>
      </c>
      <c r="AW11" s="99">
        <f>'Объемы реализации'!AX9*Цены!BF26/1000</f>
        <v>19448.100000000006</v>
      </c>
      <c r="AX11" s="99">
        <f>'Объемы реализации'!AY9*Цены!BG26/1000</f>
        <v>19448.100000000006</v>
      </c>
      <c r="AY11" s="99">
        <f>'Объемы реализации'!AZ9*Цены!BH26/1000</f>
        <v>19448.100000000006</v>
      </c>
      <c r="AZ11" s="99">
        <f>'Объемы реализации'!BA9*Цены!BI26/1000</f>
        <v>19448.100000000006</v>
      </c>
      <c r="BA11" s="99">
        <f>'Объемы реализации'!BB9*Цены!BJ26/1000</f>
        <v>19448.100000000006</v>
      </c>
      <c r="BB11" s="99">
        <f>'Объемы реализации'!BC9*Цены!BK26/1000</f>
        <v>19448.100000000006</v>
      </c>
      <c r="BC11" s="99">
        <f>'Объемы реализации'!BD9*Цены!BL26/1000</f>
        <v>20420.505000000008</v>
      </c>
      <c r="BD11" s="99">
        <f>'Объемы реализации'!BE9*Цены!BM26/1000</f>
        <v>20420.505000000008</v>
      </c>
      <c r="BE11" s="99">
        <f>'Объемы реализации'!BF9*Цены!BN26/1000</f>
        <v>20420.505000000008</v>
      </c>
      <c r="BF11" s="99">
        <f>'Объемы реализации'!BG9*Цены!BO26/1000</f>
        <v>20420.505000000008</v>
      </c>
      <c r="BG11" s="99">
        <f>'Объемы реализации'!BH9*Цены!BP26/1000</f>
        <v>20420.505000000008</v>
      </c>
      <c r="BH11" s="99">
        <f>'Объемы реализации'!BI9*Цены!BQ26/1000</f>
        <v>20420.505000000008</v>
      </c>
      <c r="BI11" s="99">
        <f>'Объемы реализации'!BJ9*Цены!BR26/1000</f>
        <v>20420.505000000008</v>
      </c>
      <c r="BJ11" s="99">
        <f>'Объемы реализации'!BK9*Цены!BS26/1000</f>
        <v>0</v>
      </c>
      <c r="BL11" s="25">
        <f t="shared" si="16"/>
        <v>9600</v>
      </c>
      <c r="BM11" s="25">
        <f t="shared" si="16"/>
        <v>191520.00000000003</v>
      </c>
      <c r="BN11" s="25">
        <f t="shared" si="16"/>
        <v>211680.00000000003</v>
      </c>
      <c r="BO11" s="25">
        <f t="shared" si="16"/>
        <v>222264.00000000003</v>
      </c>
      <c r="BP11" s="25">
        <f t="shared" si="16"/>
        <v>233377.20000000007</v>
      </c>
      <c r="BQ11" s="25">
        <f t="shared" si="16"/>
        <v>142943.53500000006</v>
      </c>
    </row>
    <row r="12" spans="1:69" ht="14.1" customHeight="1">
      <c r="A12" s="30" t="str">
        <f>Допущения!A34</f>
        <v>Тушки куриные</v>
      </c>
      <c r="B12" s="53" t="s">
        <v>213</v>
      </c>
      <c r="C12" s="99">
        <f>'Объемы реализации'!D10*Цены!L27/1000</f>
        <v>0</v>
      </c>
      <c r="D12" s="99">
        <f>'Объемы реализации'!E10*Цены!M27/1000</f>
        <v>0</v>
      </c>
      <c r="E12" s="99">
        <f>'Объемы реализации'!F10*Цены!N27/1000</f>
        <v>2200</v>
      </c>
      <c r="F12" s="99">
        <f>'Объемы реализации'!G10*Цены!O27/1000</f>
        <v>4400</v>
      </c>
      <c r="G12" s="99">
        <f>'Объемы реализации'!H10*Цены!P27/1000</f>
        <v>6930.0000000000009</v>
      </c>
      <c r="H12" s="99">
        <f>'Объемы реализации'!I10*Цены!Q27/1000</f>
        <v>9240.0000000000018</v>
      </c>
      <c r="I12" s="99">
        <f>'Объемы реализации'!J10*Цены!R27/1000</f>
        <v>11550.000000000002</v>
      </c>
      <c r="J12" s="99">
        <f>'Объемы реализации'!K10*Цены!S27/1000</f>
        <v>11550.000000000002</v>
      </c>
      <c r="K12" s="99">
        <f>'Объемы реализации'!L10*Цены!T27/1000</f>
        <v>11550.000000000002</v>
      </c>
      <c r="L12" s="99">
        <f>'Объемы реализации'!M10*Цены!U27/1000</f>
        <v>11550.000000000002</v>
      </c>
      <c r="M12" s="99">
        <f>'Объемы реализации'!N10*Цены!V27/1000</f>
        <v>11550.000000000002</v>
      </c>
      <c r="N12" s="99">
        <f>'Объемы реализации'!O10*Цены!W27/1000</f>
        <v>11550.000000000002</v>
      </c>
      <c r="O12" s="99">
        <f>'Объемы реализации'!P10*Цены!X27/1000</f>
        <v>11550.000000000002</v>
      </c>
      <c r="P12" s="99">
        <f>'Объемы реализации'!Q10*Цены!Y27/1000</f>
        <v>11550.000000000002</v>
      </c>
      <c r="Q12" s="99">
        <f>'Объемы реализации'!R10*Цены!Z27/1000</f>
        <v>11550.000000000002</v>
      </c>
      <c r="R12" s="99">
        <f>'Объемы реализации'!S10*Цены!AA27/1000</f>
        <v>11550.000000000002</v>
      </c>
      <c r="S12" s="99">
        <f>'Объемы реализации'!T10*Цены!AB27/1000</f>
        <v>12127.500000000002</v>
      </c>
      <c r="T12" s="99">
        <f>'Объемы реализации'!U10*Цены!AC27/1000</f>
        <v>12127.500000000002</v>
      </c>
      <c r="U12" s="99">
        <f>'Объемы реализации'!V10*Цены!AD27/1000</f>
        <v>12127.500000000002</v>
      </c>
      <c r="V12" s="99">
        <f>'Объемы реализации'!W10*Цены!AE27/1000</f>
        <v>12127.500000000002</v>
      </c>
      <c r="W12" s="99">
        <f>'Объемы реализации'!X10*Цены!AF27/1000</f>
        <v>12127.500000000002</v>
      </c>
      <c r="X12" s="99">
        <f>'Объемы реализации'!Y10*Цены!AG27/1000</f>
        <v>12127.500000000002</v>
      </c>
      <c r="Y12" s="99">
        <f>'Объемы реализации'!Z10*Цены!AH27/1000</f>
        <v>12127.500000000002</v>
      </c>
      <c r="Z12" s="99">
        <f>'Объемы реализации'!AA10*Цены!AI27/1000</f>
        <v>12127.500000000002</v>
      </c>
      <c r="AA12" s="99">
        <f>'Объемы реализации'!AB10*Цены!AJ27/1000</f>
        <v>12127.500000000002</v>
      </c>
      <c r="AB12" s="99">
        <f>'Объемы реализации'!AC10*Цены!AK27/1000</f>
        <v>12127.500000000002</v>
      </c>
      <c r="AC12" s="99">
        <f>'Объемы реализации'!AD10*Цены!AL27/1000</f>
        <v>12127.500000000002</v>
      </c>
      <c r="AD12" s="99">
        <f>'Объемы реализации'!AE10*Цены!AM27/1000</f>
        <v>12127.500000000002</v>
      </c>
      <c r="AE12" s="99">
        <f>'Объемы реализации'!AF10*Цены!AN27/1000</f>
        <v>12733.875000000002</v>
      </c>
      <c r="AF12" s="99">
        <f>'Объемы реализации'!AG10*Цены!AO27/1000</f>
        <v>12733.875000000002</v>
      </c>
      <c r="AG12" s="99">
        <f>'Объемы реализации'!AH10*Цены!AP27/1000</f>
        <v>12733.875000000002</v>
      </c>
      <c r="AH12" s="99">
        <f>'Объемы реализации'!AI10*Цены!AQ27/1000</f>
        <v>12733.875000000002</v>
      </c>
      <c r="AI12" s="99">
        <f>'Объемы реализации'!AJ10*Цены!AR27/1000</f>
        <v>12733.875000000002</v>
      </c>
      <c r="AJ12" s="99">
        <f>'Объемы реализации'!AK10*Цены!AS27/1000</f>
        <v>12733.875000000002</v>
      </c>
      <c r="AK12" s="99">
        <f>'Объемы реализации'!AL10*Цены!AT27/1000</f>
        <v>12733.875000000002</v>
      </c>
      <c r="AL12" s="99">
        <f>'Объемы реализации'!AM10*Цены!AU27/1000</f>
        <v>12733.875000000002</v>
      </c>
      <c r="AM12" s="99">
        <f>'Объемы реализации'!AN10*Цены!AV27/1000</f>
        <v>12733.875000000002</v>
      </c>
      <c r="AN12" s="99">
        <f>'Объемы реализации'!AO10*Цены!AW27/1000</f>
        <v>12733.875000000002</v>
      </c>
      <c r="AO12" s="99">
        <f>'Объемы реализации'!AP10*Цены!AX27/1000</f>
        <v>12733.875000000002</v>
      </c>
      <c r="AP12" s="99">
        <f>'Объемы реализации'!AQ10*Цены!AY27/1000</f>
        <v>12733.875000000002</v>
      </c>
      <c r="AQ12" s="99">
        <f>'Объемы реализации'!AR10*Цены!AZ27/1000</f>
        <v>13370.568750000004</v>
      </c>
      <c r="AR12" s="99">
        <f>'Объемы реализации'!AS10*Цены!BA27/1000</f>
        <v>13370.568750000004</v>
      </c>
      <c r="AS12" s="99">
        <f>'Объемы реализации'!AT10*Цены!BB27/1000</f>
        <v>13370.568750000004</v>
      </c>
      <c r="AT12" s="99">
        <f>'Объемы реализации'!AU10*Цены!BC27/1000</f>
        <v>13370.568750000004</v>
      </c>
      <c r="AU12" s="99">
        <f>'Объемы реализации'!AV10*Цены!BD27/1000</f>
        <v>13370.568750000004</v>
      </c>
      <c r="AV12" s="99">
        <f>'Объемы реализации'!AW10*Цены!BE27/1000</f>
        <v>13370.568750000004</v>
      </c>
      <c r="AW12" s="99">
        <f>'Объемы реализации'!AX10*Цены!BF27/1000</f>
        <v>13370.568750000004</v>
      </c>
      <c r="AX12" s="99">
        <f>'Объемы реализации'!AY10*Цены!BG27/1000</f>
        <v>13370.568750000004</v>
      </c>
      <c r="AY12" s="99">
        <f>'Объемы реализации'!AZ10*Цены!BH27/1000</f>
        <v>13370.568750000004</v>
      </c>
      <c r="AZ12" s="99">
        <f>'Объемы реализации'!BA10*Цены!BI27/1000</f>
        <v>13370.568750000004</v>
      </c>
      <c r="BA12" s="99">
        <f>'Объемы реализации'!BB10*Цены!BJ27/1000</f>
        <v>13370.568750000004</v>
      </c>
      <c r="BB12" s="99">
        <f>'Объемы реализации'!BC10*Цены!BK27/1000</f>
        <v>13370.568750000004</v>
      </c>
      <c r="BC12" s="99">
        <f>'Объемы реализации'!BD10*Цены!BL27/1000</f>
        <v>14039.097187500005</v>
      </c>
      <c r="BD12" s="99">
        <f>'Объемы реализации'!BE10*Цены!BM27/1000</f>
        <v>14039.097187500005</v>
      </c>
      <c r="BE12" s="99">
        <f>'Объемы реализации'!BF10*Цены!BN27/1000</f>
        <v>14039.097187500005</v>
      </c>
      <c r="BF12" s="99">
        <f>'Объемы реализации'!BG10*Цены!BO27/1000</f>
        <v>14039.097187500005</v>
      </c>
      <c r="BG12" s="99">
        <f>'Объемы реализации'!BH10*Цены!BP27/1000</f>
        <v>14039.097187500005</v>
      </c>
      <c r="BH12" s="99">
        <f>'Объемы реализации'!BI10*Цены!BQ27/1000</f>
        <v>14039.097187500005</v>
      </c>
      <c r="BI12" s="99">
        <f>'Объемы реализации'!BJ10*Цены!BR27/1000</f>
        <v>14039.097187500005</v>
      </c>
      <c r="BJ12" s="99">
        <f>'Объемы реализации'!BK10*Цены!BS27/1000</f>
        <v>0</v>
      </c>
      <c r="BL12" s="25">
        <f t="shared" si="16"/>
        <v>6600</v>
      </c>
      <c r="BM12" s="25">
        <f t="shared" si="16"/>
        <v>131670.00000000003</v>
      </c>
      <c r="BN12" s="25">
        <f t="shared" si="16"/>
        <v>145530.00000000003</v>
      </c>
      <c r="BO12" s="25">
        <f t="shared" si="16"/>
        <v>152806.50000000003</v>
      </c>
      <c r="BP12" s="25">
        <f t="shared" si="16"/>
        <v>160446.82500000004</v>
      </c>
      <c r="BQ12" s="25">
        <f t="shared" si="16"/>
        <v>98273.680312500044</v>
      </c>
    </row>
    <row r="13" spans="1:69" ht="14.1" customHeight="1">
      <c r="A13" s="30" t="str">
        <f>Допущения!A35</f>
        <v>Тушки индейки</v>
      </c>
      <c r="B13" s="53" t="s">
        <v>213</v>
      </c>
      <c r="C13" s="99">
        <f>'Объемы реализации'!D11*Цены!L28/1000</f>
        <v>0</v>
      </c>
      <c r="D13" s="99">
        <f>'Объемы реализации'!E11*Цены!M28/1000</f>
        <v>0</v>
      </c>
      <c r="E13" s="99">
        <f>'Объемы реализации'!F11*Цены!N28/1000</f>
        <v>2400</v>
      </c>
      <c r="F13" s="99">
        <f>'Объемы реализации'!G11*Цены!O28/1000</f>
        <v>4800</v>
      </c>
      <c r="G13" s="99">
        <f>'Объемы реализации'!H11*Цены!P28/1000</f>
        <v>7560</v>
      </c>
      <c r="H13" s="99">
        <f>'Объемы реализации'!I11*Цены!Q28/1000</f>
        <v>10080</v>
      </c>
      <c r="I13" s="99">
        <f>'Объемы реализации'!J11*Цены!R28/1000</f>
        <v>12600</v>
      </c>
      <c r="J13" s="99">
        <f>'Объемы реализации'!K11*Цены!S28/1000</f>
        <v>12600</v>
      </c>
      <c r="K13" s="99">
        <f>'Объемы реализации'!L11*Цены!T28/1000</f>
        <v>12600</v>
      </c>
      <c r="L13" s="99">
        <f>'Объемы реализации'!M11*Цены!U28/1000</f>
        <v>12600</v>
      </c>
      <c r="M13" s="99">
        <f>'Объемы реализации'!N11*Цены!V28/1000</f>
        <v>12600</v>
      </c>
      <c r="N13" s="99">
        <f>'Объемы реализации'!O11*Цены!W28/1000</f>
        <v>12600</v>
      </c>
      <c r="O13" s="99">
        <f>'Объемы реализации'!P11*Цены!X28/1000</f>
        <v>12600</v>
      </c>
      <c r="P13" s="99">
        <f>'Объемы реализации'!Q11*Цены!Y28/1000</f>
        <v>12600</v>
      </c>
      <c r="Q13" s="99">
        <f>'Объемы реализации'!R11*Цены!Z28/1000</f>
        <v>12600</v>
      </c>
      <c r="R13" s="99">
        <f>'Объемы реализации'!S11*Цены!AA28/1000</f>
        <v>12600</v>
      </c>
      <c r="S13" s="99">
        <f>'Объемы реализации'!T11*Цены!AB28/1000</f>
        <v>13230</v>
      </c>
      <c r="T13" s="99">
        <f>'Объемы реализации'!U11*Цены!AC28/1000</f>
        <v>13230</v>
      </c>
      <c r="U13" s="99">
        <f>'Объемы реализации'!V11*Цены!AD28/1000</f>
        <v>13230</v>
      </c>
      <c r="V13" s="99">
        <f>'Объемы реализации'!W11*Цены!AE28/1000</f>
        <v>13230</v>
      </c>
      <c r="W13" s="99">
        <f>'Объемы реализации'!X11*Цены!AF28/1000</f>
        <v>13230</v>
      </c>
      <c r="X13" s="99">
        <f>'Объемы реализации'!Y11*Цены!AG28/1000</f>
        <v>13230</v>
      </c>
      <c r="Y13" s="99">
        <f>'Объемы реализации'!Z11*Цены!AH28/1000</f>
        <v>13230</v>
      </c>
      <c r="Z13" s="99">
        <f>'Объемы реализации'!AA11*Цены!AI28/1000</f>
        <v>13230</v>
      </c>
      <c r="AA13" s="99">
        <f>'Объемы реализации'!AB11*Цены!AJ28/1000</f>
        <v>13230</v>
      </c>
      <c r="AB13" s="99">
        <f>'Объемы реализации'!AC11*Цены!AK28/1000</f>
        <v>13230</v>
      </c>
      <c r="AC13" s="99">
        <f>'Объемы реализации'!AD11*Цены!AL28/1000</f>
        <v>13230</v>
      </c>
      <c r="AD13" s="99">
        <f>'Объемы реализации'!AE11*Цены!AM28/1000</f>
        <v>13230</v>
      </c>
      <c r="AE13" s="99">
        <f>'Объемы реализации'!AF11*Цены!AN28/1000</f>
        <v>13891.500000000002</v>
      </c>
      <c r="AF13" s="99">
        <f>'Объемы реализации'!AG11*Цены!AO28/1000</f>
        <v>13891.500000000002</v>
      </c>
      <c r="AG13" s="99">
        <f>'Объемы реализации'!AH11*Цены!AP28/1000</f>
        <v>13891.500000000002</v>
      </c>
      <c r="AH13" s="99">
        <f>'Объемы реализации'!AI11*Цены!AQ28/1000</f>
        <v>13891.500000000002</v>
      </c>
      <c r="AI13" s="99">
        <f>'Объемы реализации'!AJ11*Цены!AR28/1000</f>
        <v>13891.500000000002</v>
      </c>
      <c r="AJ13" s="99">
        <f>'Объемы реализации'!AK11*Цены!AS28/1000</f>
        <v>13891.500000000002</v>
      </c>
      <c r="AK13" s="99">
        <f>'Объемы реализации'!AL11*Цены!AT28/1000</f>
        <v>13891.500000000002</v>
      </c>
      <c r="AL13" s="99">
        <f>'Объемы реализации'!AM11*Цены!AU28/1000</f>
        <v>13891.500000000002</v>
      </c>
      <c r="AM13" s="99">
        <f>'Объемы реализации'!AN11*Цены!AV28/1000</f>
        <v>13891.500000000002</v>
      </c>
      <c r="AN13" s="99">
        <f>'Объемы реализации'!AO11*Цены!AW28/1000</f>
        <v>13891.500000000002</v>
      </c>
      <c r="AO13" s="99">
        <f>'Объемы реализации'!AP11*Цены!AX28/1000</f>
        <v>13891.500000000002</v>
      </c>
      <c r="AP13" s="99">
        <f>'Объемы реализации'!AQ11*Цены!AY28/1000</f>
        <v>13891.500000000002</v>
      </c>
      <c r="AQ13" s="99">
        <f>'Объемы реализации'!AR11*Цены!AZ28/1000</f>
        <v>14586.075000000004</v>
      </c>
      <c r="AR13" s="99">
        <f>'Объемы реализации'!AS11*Цены!BA28/1000</f>
        <v>14586.075000000004</v>
      </c>
      <c r="AS13" s="99">
        <f>'Объемы реализации'!AT11*Цены!BB28/1000</f>
        <v>14586.075000000004</v>
      </c>
      <c r="AT13" s="99">
        <f>'Объемы реализации'!AU11*Цены!BC28/1000</f>
        <v>14586.075000000004</v>
      </c>
      <c r="AU13" s="99">
        <f>'Объемы реализации'!AV11*Цены!BD28/1000</f>
        <v>14586.075000000004</v>
      </c>
      <c r="AV13" s="99">
        <f>'Объемы реализации'!AW11*Цены!BE28/1000</f>
        <v>14586.075000000004</v>
      </c>
      <c r="AW13" s="99">
        <f>'Объемы реализации'!AX11*Цены!BF28/1000</f>
        <v>14586.075000000004</v>
      </c>
      <c r="AX13" s="99">
        <f>'Объемы реализации'!AY11*Цены!BG28/1000</f>
        <v>14586.075000000004</v>
      </c>
      <c r="AY13" s="99">
        <f>'Объемы реализации'!AZ11*Цены!BH28/1000</f>
        <v>14586.075000000004</v>
      </c>
      <c r="AZ13" s="99">
        <f>'Объемы реализации'!BA11*Цены!BI28/1000</f>
        <v>14586.075000000004</v>
      </c>
      <c r="BA13" s="99">
        <f>'Объемы реализации'!BB11*Цены!BJ28/1000</f>
        <v>14586.075000000004</v>
      </c>
      <c r="BB13" s="99">
        <f>'Объемы реализации'!BC11*Цены!BK28/1000</f>
        <v>14586.075000000004</v>
      </c>
      <c r="BC13" s="99">
        <f>'Объемы реализации'!BD11*Цены!BL28/1000</f>
        <v>15315.378750000003</v>
      </c>
      <c r="BD13" s="99">
        <f>'Объемы реализации'!BE11*Цены!BM28/1000</f>
        <v>15315.378750000003</v>
      </c>
      <c r="BE13" s="99">
        <f>'Объемы реализации'!BF11*Цены!BN28/1000</f>
        <v>15315.378750000003</v>
      </c>
      <c r="BF13" s="99">
        <f>'Объемы реализации'!BG11*Цены!BO28/1000</f>
        <v>15315.378750000003</v>
      </c>
      <c r="BG13" s="99">
        <f>'Объемы реализации'!BH11*Цены!BP28/1000</f>
        <v>15315.378750000003</v>
      </c>
      <c r="BH13" s="99">
        <f>'Объемы реализации'!BI11*Цены!BQ28/1000</f>
        <v>15315.378750000003</v>
      </c>
      <c r="BI13" s="99">
        <f>'Объемы реализации'!BJ11*Цены!BR28/1000</f>
        <v>15315.378750000003</v>
      </c>
      <c r="BJ13" s="99">
        <f>'Объемы реализации'!BK11*Цены!BS28/1000</f>
        <v>0</v>
      </c>
      <c r="BL13" s="25">
        <f t="shared" si="16"/>
        <v>7200</v>
      </c>
      <c r="BM13" s="25">
        <f t="shared" si="16"/>
        <v>143640</v>
      </c>
      <c r="BN13" s="25">
        <f t="shared" si="16"/>
        <v>158760</v>
      </c>
      <c r="BO13" s="25">
        <f t="shared" si="16"/>
        <v>166698.00000000003</v>
      </c>
      <c r="BP13" s="25">
        <f t="shared" si="16"/>
        <v>175032.90000000011</v>
      </c>
      <c r="BQ13" s="25">
        <f t="shared" si="16"/>
        <v>107207.65125000002</v>
      </c>
    </row>
    <row r="14" spans="1:69" ht="14.1" customHeight="1">
      <c r="A14" s="30" t="str">
        <f>Допущения!A36</f>
        <v>Котлеты замороженные</v>
      </c>
      <c r="B14" s="53" t="s">
        <v>213</v>
      </c>
      <c r="C14" s="99">
        <f>'Объемы реализации'!D12*Цены!L29/1000</f>
        <v>0</v>
      </c>
      <c r="D14" s="99">
        <f>'Объемы реализации'!E12*Цены!M29/1000</f>
        <v>0</v>
      </c>
      <c r="E14" s="99">
        <f>'Объемы реализации'!F12*Цены!N29/1000</f>
        <v>3325</v>
      </c>
      <c r="F14" s="99">
        <f>'Объемы реализации'!G12*Цены!O29/1000</f>
        <v>6650</v>
      </c>
      <c r="G14" s="99">
        <f>'Объемы реализации'!H12*Цены!P29/1000</f>
        <v>10473.750000000002</v>
      </c>
      <c r="H14" s="99">
        <f>'Объемы реализации'!I12*Цены!Q29/1000</f>
        <v>13965.000000000002</v>
      </c>
      <c r="I14" s="99">
        <f>'Объемы реализации'!J12*Цены!R29/1000</f>
        <v>17456.250000000004</v>
      </c>
      <c r="J14" s="99">
        <f>'Объемы реализации'!K12*Цены!S29/1000</f>
        <v>17456.250000000004</v>
      </c>
      <c r="K14" s="99">
        <f>'Объемы реализации'!L12*Цены!T29/1000</f>
        <v>17456.250000000004</v>
      </c>
      <c r="L14" s="99">
        <f>'Объемы реализации'!M12*Цены!U29/1000</f>
        <v>17456.250000000004</v>
      </c>
      <c r="M14" s="99">
        <f>'Объемы реализации'!N12*Цены!V29/1000</f>
        <v>17456.250000000004</v>
      </c>
      <c r="N14" s="99">
        <f>'Объемы реализации'!O12*Цены!W29/1000</f>
        <v>17456.250000000004</v>
      </c>
      <c r="O14" s="99">
        <f>'Объемы реализации'!P12*Цены!X29/1000</f>
        <v>17456.250000000004</v>
      </c>
      <c r="P14" s="99">
        <f>'Объемы реализации'!Q12*Цены!Y29/1000</f>
        <v>17456.250000000004</v>
      </c>
      <c r="Q14" s="99">
        <f>'Объемы реализации'!R12*Цены!Z29/1000</f>
        <v>17456.250000000004</v>
      </c>
      <c r="R14" s="99">
        <f>'Объемы реализации'!S12*Цены!AA29/1000</f>
        <v>17456.250000000004</v>
      </c>
      <c r="S14" s="99">
        <f>'Объемы реализации'!T12*Цены!AB29/1000</f>
        <v>18329.062500000004</v>
      </c>
      <c r="T14" s="99">
        <f>'Объемы реализации'!U12*Цены!AC29/1000</f>
        <v>18329.062500000004</v>
      </c>
      <c r="U14" s="99">
        <f>'Объемы реализации'!V12*Цены!AD29/1000</f>
        <v>18329.062500000004</v>
      </c>
      <c r="V14" s="99">
        <f>'Объемы реализации'!W12*Цены!AE29/1000</f>
        <v>18329.062500000004</v>
      </c>
      <c r="W14" s="99">
        <f>'Объемы реализации'!X12*Цены!AF29/1000</f>
        <v>18329.062500000004</v>
      </c>
      <c r="X14" s="99">
        <f>'Объемы реализации'!Y12*Цены!AG29/1000</f>
        <v>18329.062500000004</v>
      </c>
      <c r="Y14" s="99">
        <f>'Объемы реализации'!Z12*Цены!AH29/1000</f>
        <v>18329.062500000004</v>
      </c>
      <c r="Z14" s="99">
        <f>'Объемы реализации'!AA12*Цены!AI29/1000</f>
        <v>18329.062500000004</v>
      </c>
      <c r="AA14" s="99">
        <f>'Объемы реализации'!AB12*Цены!AJ29/1000</f>
        <v>18329.062500000004</v>
      </c>
      <c r="AB14" s="99">
        <f>'Объемы реализации'!AC12*Цены!AK29/1000</f>
        <v>18329.062500000004</v>
      </c>
      <c r="AC14" s="99">
        <f>'Объемы реализации'!AD12*Цены!AL29/1000</f>
        <v>18329.062500000004</v>
      </c>
      <c r="AD14" s="99">
        <f>'Объемы реализации'!AE12*Цены!AM29/1000</f>
        <v>18329.062500000004</v>
      </c>
      <c r="AE14" s="99">
        <f>'Объемы реализации'!AF12*Цены!AN29/1000</f>
        <v>19245.515625000004</v>
      </c>
      <c r="AF14" s="99">
        <f>'Объемы реализации'!AG12*Цены!AO29/1000</f>
        <v>19245.515625000004</v>
      </c>
      <c r="AG14" s="99">
        <f>'Объемы реализации'!AH12*Цены!AP29/1000</f>
        <v>19245.515625000004</v>
      </c>
      <c r="AH14" s="99">
        <f>'Объемы реализации'!AI12*Цены!AQ29/1000</f>
        <v>19245.515625000004</v>
      </c>
      <c r="AI14" s="99">
        <f>'Объемы реализации'!AJ12*Цены!AR29/1000</f>
        <v>19245.515625000004</v>
      </c>
      <c r="AJ14" s="99">
        <f>'Объемы реализации'!AK12*Цены!AS29/1000</f>
        <v>19245.515625000004</v>
      </c>
      <c r="AK14" s="99">
        <f>'Объемы реализации'!AL12*Цены!AT29/1000</f>
        <v>19245.515625000004</v>
      </c>
      <c r="AL14" s="99">
        <f>'Объемы реализации'!AM12*Цены!AU29/1000</f>
        <v>19245.515625000004</v>
      </c>
      <c r="AM14" s="99">
        <f>'Объемы реализации'!AN12*Цены!AV29/1000</f>
        <v>19245.515625000004</v>
      </c>
      <c r="AN14" s="99">
        <f>'Объемы реализации'!AO12*Цены!AW29/1000</f>
        <v>19245.515625000004</v>
      </c>
      <c r="AO14" s="99">
        <f>'Объемы реализации'!AP12*Цены!AX29/1000</f>
        <v>19245.515625000004</v>
      </c>
      <c r="AP14" s="99">
        <f>'Объемы реализации'!AQ12*Цены!AY29/1000</f>
        <v>19245.515625000004</v>
      </c>
      <c r="AQ14" s="99">
        <f>'Объемы реализации'!AR12*Цены!AZ29/1000</f>
        <v>20207.791406250002</v>
      </c>
      <c r="AR14" s="99">
        <f>'Объемы реализации'!AS12*Цены!BA29/1000</f>
        <v>20207.791406250002</v>
      </c>
      <c r="AS14" s="99">
        <f>'Объемы реализации'!AT12*Цены!BB29/1000</f>
        <v>20207.791406250002</v>
      </c>
      <c r="AT14" s="99">
        <f>'Объемы реализации'!AU12*Цены!BC29/1000</f>
        <v>20207.791406250002</v>
      </c>
      <c r="AU14" s="99">
        <f>'Объемы реализации'!AV12*Цены!BD29/1000</f>
        <v>20207.791406250002</v>
      </c>
      <c r="AV14" s="99">
        <f>'Объемы реализации'!AW12*Цены!BE29/1000</f>
        <v>20207.791406250002</v>
      </c>
      <c r="AW14" s="99">
        <f>'Объемы реализации'!AX12*Цены!BF29/1000</f>
        <v>20207.791406250002</v>
      </c>
      <c r="AX14" s="99">
        <f>'Объемы реализации'!AY12*Цены!BG29/1000</f>
        <v>20207.791406250002</v>
      </c>
      <c r="AY14" s="99">
        <f>'Объемы реализации'!AZ12*Цены!BH29/1000</f>
        <v>20207.791406250002</v>
      </c>
      <c r="AZ14" s="99">
        <f>'Объемы реализации'!BA12*Цены!BI29/1000</f>
        <v>20207.791406250002</v>
      </c>
      <c r="BA14" s="99">
        <f>'Объемы реализации'!BB12*Цены!BJ29/1000</f>
        <v>20207.791406250002</v>
      </c>
      <c r="BB14" s="99">
        <f>'Объемы реализации'!BC12*Цены!BK29/1000</f>
        <v>20207.791406250002</v>
      </c>
      <c r="BC14" s="99">
        <f>'Объемы реализации'!BD12*Цены!BL29/1000</f>
        <v>21218.180976562508</v>
      </c>
      <c r="BD14" s="99">
        <f>'Объемы реализации'!BE12*Цены!BM29/1000</f>
        <v>21218.180976562508</v>
      </c>
      <c r="BE14" s="99">
        <f>'Объемы реализации'!BF12*Цены!BN29/1000</f>
        <v>21218.180976562508</v>
      </c>
      <c r="BF14" s="99">
        <f>'Объемы реализации'!BG12*Цены!BO29/1000</f>
        <v>21218.180976562508</v>
      </c>
      <c r="BG14" s="99">
        <f>'Объемы реализации'!BH12*Цены!BP29/1000</f>
        <v>21218.180976562508</v>
      </c>
      <c r="BH14" s="99">
        <f>'Объемы реализации'!BI12*Цены!BQ29/1000</f>
        <v>21218.180976562508</v>
      </c>
      <c r="BI14" s="99">
        <f>'Объемы реализации'!BJ12*Цены!BR29/1000</f>
        <v>21218.180976562508</v>
      </c>
      <c r="BJ14" s="99">
        <f>'Объемы реализации'!BK12*Цены!BS29/1000</f>
        <v>0</v>
      </c>
      <c r="BL14" s="25">
        <f t="shared" si="16"/>
        <v>9975</v>
      </c>
      <c r="BM14" s="25">
        <f t="shared" si="16"/>
        <v>199001.25000000003</v>
      </c>
      <c r="BN14" s="25">
        <f t="shared" si="16"/>
        <v>219948.75000000003</v>
      </c>
      <c r="BO14" s="25">
        <f t="shared" si="16"/>
        <v>230946.18750000003</v>
      </c>
      <c r="BP14" s="25">
        <f t="shared" si="16"/>
        <v>242493.49687500004</v>
      </c>
      <c r="BQ14" s="25">
        <f t="shared" si="16"/>
        <v>148527.26683593757</v>
      </c>
    </row>
    <row r="15" spans="1:69" ht="14.1" customHeight="1">
      <c r="A15" s="30" t="str">
        <f>Допущения!A37</f>
        <v>Шашлык маринованный</v>
      </c>
      <c r="B15" s="53" t="s">
        <v>213</v>
      </c>
      <c r="C15" s="99">
        <f>'Объемы реализации'!D13*Цены!L30/1000</f>
        <v>0</v>
      </c>
      <c r="D15" s="99">
        <f>'Объемы реализации'!E13*Цены!M30/1000</f>
        <v>0</v>
      </c>
      <c r="E15" s="99">
        <f>'Объемы реализации'!F13*Цены!N30/1000</f>
        <v>4750</v>
      </c>
      <c r="F15" s="99">
        <f>'Объемы реализации'!G13*Цены!O30/1000</f>
        <v>9500</v>
      </c>
      <c r="G15" s="99">
        <f>'Объемы реализации'!H13*Цены!P30/1000</f>
        <v>14962.500000000002</v>
      </c>
      <c r="H15" s="99">
        <f>'Объемы реализации'!I13*Цены!Q30/1000</f>
        <v>19950.000000000004</v>
      </c>
      <c r="I15" s="99">
        <f>'Объемы реализации'!J13*Цены!R30/1000</f>
        <v>24937.500000000004</v>
      </c>
      <c r="J15" s="99">
        <f>'Объемы реализации'!K13*Цены!S30/1000</f>
        <v>24937.500000000004</v>
      </c>
      <c r="K15" s="99">
        <f>'Объемы реализации'!L13*Цены!T30/1000</f>
        <v>24937.500000000004</v>
      </c>
      <c r="L15" s="99">
        <f>'Объемы реализации'!M13*Цены!U30/1000</f>
        <v>24937.500000000004</v>
      </c>
      <c r="M15" s="99">
        <f>'Объемы реализации'!N13*Цены!V30/1000</f>
        <v>24937.500000000004</v>
      </c>
      <c r="N15" s="99">
        <f>'Объемы реализации'!O13*Цены!W30/1000</f>
        <v>24937.500000000004</v>
      </c>
      <c r="O15" s="99">
        <f>'Объемы реализации'!P13*Цены!X30/1000</f>
        <v>24937.500000000004</v>
      </c>
      <c r="P15" s="99">
        <f>'Объемы реализации'!Q13*Цены!Y30/1000</f>
        <v>24937.500000000004</v>
      </c>
      <c r="Q15" s="99">
        <f>'Объемы реализации'!R13*Цены!Z30/1000</f>
        <v>24937.500000000004</v>
      </c>
      <c r="R15" s="99">
        <f>'Объемы реализации'!S13*Цены!AA30/1000</f>
        <v>24937.500000000004</v>
      </c>
      <c r="S15" s="99">
        <f>'Объемы реализации'!T13*Цены!AB30/1000</f>
        <v>26184.375000000004</v>
      </c>
      <c r="T15" s="99">
        <f>'Объемы реализации'!U13*Цены!AC30/1000</f>
        <v>26184.375000000004</v>
      </c>
      <c r="U15" s="99">
        <f>'Объемы реализации'!V13*Цены!AD30/1000</f>
        <v>26184.375000000004</v>
      </c>
      <c r="V15" s="99">
        <f>'Объемы реализации'!W13*Цены!AE30/1000</f>
        <v>26184.375000000004</v>
      </c>
      <c r="W15" s="99">
        <f>'Объемы реализации'!X13*Цены!AF30/1000</f>
        <v>26184.375000000004</v>
      </c>
      <c r="X15" s="99">
        <f>'Объемы реализации'!Y13*Цены!AG30/1000</f>
        <v>26184.375000000004</v>
      </c>
      <c r="Y15" s="99">
        <f>'Объемы реализации'!Z13*Цены!AH30/1000</f>
        <v>26184.375000000004</v>
      </c>
      <c r="Z15" s="99">
        <f>'Объемы реализации'!AA13*Цены!AI30/1000</f>
        <v>26184.375000000004</v>
      </c>
      <c r="AA15" s="99">
        <f>'Объемы реализации'!AB13*Цены!AJ30/1000</f>
        <v>26184.375000000004</v>
      </c>
      <c r="AB15" s="99">
        <f>'Объемы реализации'!AC13*Цены!AK30/1000</f>
        <v>26184.375000000004</v>
      </c>
      <c r="AC15" s="99">
        <f>'Объемы реализации'!AD13*Цены!AL30/1000</f>
        <v>26184.375000000004</v>
      </c>
      <c r="AD15" s="99">
        <f>'Объемы реализации'!AE13*Цены!AM30/1000</f>
        <v>26184.375000000004</v>
      </c>
      <c r="AE15" s="99">
        <f>'Объемы реализации'!AF13*Цены!AN30/1000</f>
        <v>27493.593750000004</v>
      </c>
      <c r="AF15" s="99">
        <f>'Объемы реализации'!AG13*Цены!AO30/1000</f>
        <v>27493.593750000004</v>
      </c>
      <c r="AG15" s="99">
        <f>'Объемы реализации'!AH13*Цены!AP30/1000</f>
        <v>27493.593750000004</v>
      </c>
      <c r="AH15" s="99">
        <f>'Объемы реализации'!AI13*Цены!AQ30/1000</f>
        <v>27493.593750000004</v>
      </c>
      <c r="AI15" s="99">
        <f>'Объемы реализации'!AJ13*Цены!AR30/1000</f>
        <v>27493.593750000004</v>
      </c>
      <c r="AJ15" s="99">
        <f>'Объемы реализации'!AK13*Цены!AS30/1000</f>
        <v>27493.593750000004</v>
      </c>
      <c r="AK15" s="99">
        <f>'Объемы реализации'!AL13*Цены!AT30/1000</f>
        <v>27493.593750000004</v>
      </c>
      <c r="AL15" s="99">
        <f>'Объемы реализации'!AM13*Цены!AU30/1000</f>
        <v>27493.593750000004</v>
      </c>
      <c r="AM15" s="99">
        <f>'Объемы реализации'!AN13*Цены!AV30/1000</f>
        <v>27493.593750000004</v>
      </c>
      <c r="AN15" s="99">
        <f>'Объемы реализации'!AO13*Цены!AW30/1000</f>
        <v>27493.593750000004</v>
      </c>
      <c r="AO15" s="99">
        <f>'Объемы реализации'!AP13*Цены!AX30/1000</f>
        <v>27493.593750000004</v>
      </c>
      <c r="AP15" s="99">
        <f>'Объемы реализации'!AQ13*Цены!AY30/1000</f>
        <v>27493.593750000004</v>
      </c>
      <c r="AQ15" s="99">
        <f>'Объемы реализации'!AR13*Цены!AZ30/1000</f>
        <v>28868.273437500007</v>
      </c>
      <c r="AR15" s="99">
        <f>'Объемы реализации'!AS13*Цены!BA30/1000</f>
        <v>28868.273437500007</v>
      </c>
      <c r="AS15" s="99">
        <f>'Объемы реализации'!AT13*Цены!BB30/1000</f>
        <v>28868.273437500007</v>
      </c>
      <c r="AT15" s="99">
        <f>'Объемы реализации'!AU13*Цены!BC30/1000</f>
        <v>28868.273437500007</v>
      </c>
      <c r="AU15" s="99">
        <f>'Объемы реализации'!AV13*Цены!BD30/1000</f>
        <v>28868.273437500007</v>
      </c>
      <c r="AV15" s="99">
        <f>'Объемы реализации'!AW13*Цены!BE30/1000</f>
        <v>28868.273437500007</v>
      </c>
      <c r="AW15" s="99">
        <f>'Объемы реализации'!AX13*Цены!BF30/1000</f>
        <v>28868.273437500007</v>
      </c>
      <c r="AX15" s="99">
        <f>'Объемы реализации'!AY13*Цены!BG30/1000</f>
        <v>28868.273437500007</v>
      </c>
      <c r="AY15" s="99">
        <f>'Объемы реализации'!AZ13*Цены!BH30/1000</f>
        <v>28868.273437500007</v>
      </c>
      <c r="AZ15" s="99">
        <f>'Объемы реализации'!BA13*Цены!BI30/1000</f>
        <v>28868.273437500007</v>
      </c>
      <c r="BA15" s="99">
        <f>'Объемы реализации'!BB13*Цены!BJ30/1000</f>
        <v>28868.273437500007</v>
      </c>
      <c r="BB15" s="99">
        <f>'Объемы реализации'!BC13*Цены!BK30/1000</f>
        <v>28868.273437500007</v>
      </c>
      <c r="BC15" s="99">
        <f>'Объемы реализации'!BD13*Цены!BL30/1000</f>
        <v>30311.687109375012</v>
      </c>
      <c r="BD15" s="99">
        <f>'Объемы реализации'!BE13*Цены!BM30/1000</f>
        <v>30311.687109375012</v>
      </c>
      <c r="BE15" s="99">
        <f>'Объемы реализации'!BF13*Цены!BN30/1000</f>
        <v>30311.687109375012</v>
      </c>
      <c r="BF15" s="99">
        <f>'Объемы реализации'!BG13*Цены!BO30/1000</f>
        <v>30311.687109375012</v>
      </c>
      <c r="BG15" s="99">
        <f>'Объемы реализации'!BH13*Цены!BP30/1000</f>
        <v>30311.687109375012</v>
      </c>
      <c r="BH15" s="99">
        <f>'Объемы реализации'!BI13*Цены!BQ30/1000</f>
        <v>30311.687109375012</v>
      </c>
      <c r="BI15" s="99">
        <f>'Объемы реализации'!BJ13*Цены!BR30/1000</f>
        <v>30311.687109375012</v>
      </c>
      <c r="BJ15" s="99">
        <f>'Объемы реализации'!BK13*Цены!BS30/1000</f>
        <v>0</v>
      </c>
      <c r="BL15" s="25">
        <f t="shared" si="16"/>
        <v>14250</v>
      </c>
      <c r="BM15" s="25">
        <f t="shared" si="16"/>
        <v>284287.50000000006</v>
      </c>
      <c r="BN15" s="25">
        <f t="shared" si="16"/>
        <v>314212.50000000006</v>
      </c>
      <c r="BO15" s="25">
        <f t="shared" si="16"/>
        <v>329923.12500000006</v>
      </c>
      <c r="BP15" s="25">
        <f t="shared" si="16"/>
        <v>346419.28125000006</v>
      </c>
      <c r="BQ15" s="25">
        <f t="shared" si="16"/>
        <v>212181.8097656251</v>
      </c>
    </row>
    <row r="16" spans="1:69" ht="14.1" customHeight="1">
      <c r="A16" s="30" t="str">
        <f>Допущения!A38</f>
        <v>Фрикадельки</v>
      </c>
      <c r="B16" s="53" t="s">
        <v>213</v>
      </c>
      <c r="C16" s="99">
        <f>'Объемы реализации'!D14*Цены!L31/1000</f>
        <v>0</v>
      </c>
      <c r="D16" s="99">
        <f>'Объемы реализации'!E14*Цены!M31/1000</f>
        <v>0</v>
      </c>
      <c r="E16" s="99">
        <f>'Объемы реализации'!F14*Цены!N31/1000</f>
        <v>2975.0000000000005</v>
      </c>
      <c r="F16" s="99">
        <f>'Объемы реализации'!G14*Цены!O31/1000</f>
        <v>5950.0000000000009</v>
      </c>
      <c r="G16" s="99">
        <f>'Объемы реализации'!H14*Цены!P31/1000</f>
        <v>9371.2500000000018</v>
      </c>
      <c r="H16" s="99">
        <f>'Объемы реализации'!I14*Цены!Q31/1000</f>
        <v>12495.000000000002</v>
      </c>
      <c r="I16" s="99">
        <f>'Объемы реализации'!J14*Цены!R31/1000</f>
        <v>15618.750000000004</v>
      </c>
      <c r="J16" s="99">
        <f>'Объемы реализации'!K14*Цены!S31/1000</f>
        <v>15618.750000000004</v>
      </c>
      <c r="K16" s="99">
        <f>'Объемы реализации'!L14*Цены!T31/1000</f>
        <v>15618.750000000004</v>
      </c>
      <c r="L16" s="99">
        <f>'Объемы реализации'!M14*Цены!U31/1000</f>
        <v>15618.750000000004</v>
      </c>
      <c r="M16" s="99">
        <f>'Объемы реализации'!N14*Цены!V31/1000</f>
        <v>15618.750000000004</v>
      </c>
      <c r="N16" s="99">
        <f>'Объемы реализации'!O14*Цены!W31/1000</f>
        <v>15618.750000000004</v>
      </c>
      <c r="O16" s="99">
        <f>'Объемы реализации'!P14*Цены!X31/1000</f>
        <v>15618.750000000004</v>
      </c>
      <c r="P16" s="99">
        <f>'Объемы реализации'!Q14*Цены!Y31/1000</f>
        <v>15618.750000000004</v>
      </c>
      <c r="Q16" s="99">
        <f>'Объемы реализации'!R14*Цены!Z31/1000</f>
        <v>15618.750000000004</v>
      </c>
      <c r="R16" s="99">
        <f>'Объемы реализации'!S14*Цены!AA31/1000</f>
        <v>15618.750000000004</v>
      </c>
      <c r="S16" s="99">
        <f>'Объемы реализации'!T14*Цены!AB31/1000</f>
        <v>16399.687500000004</v>
      </c>
      <c r="T16" s="99">
        <f>'Объемы реализации'!U14*Цены!AC31/1000</f>
        <v>16399.687500000004</v>
      </c>
      <c r="U16" s="99">
        <f>'Объемы реализации'!V14*Цены!AD31/1000</f>
        <v>16399.687500000004</v>
      </c>
      <c r="V16" s="99">
        <f>'Объемы реализации'!W14*Цены!AE31/1000</f>
        <v>16399.687500000004</v>
      </c>
      <c r="W16" s="99">
        <f>'Объемы реализации'!X14*Цены!AF31/1000</f>
        <v>16399.687500000004</v>
      </c>
      <c r="X16" s="99">
        <f>'Объемы реализации'!Y14*Цены!AG31/1000</f>
        <v>16399.687500000004</v>
      </c>
      <c r="Y16" s="99">
        <f>'Объемы реализации'!Z14*Цены!AH31/1000</f>
        <v>16399.687500000004</v>
      </c>
      <c r="Z16" s="99">
        <f>'Объемы реализации'!AA14*Цены!AI31/1000</f>
        <v>16399.687500000004</v>
      </c>
      <c r="AA16" s="99">
        <f>'Объемы реализации'!AB14*Цены!AJ31/1000</f>
        <v>16399.687500000004</v>
      </c>
      <c r="AB16" s="99">
        <f>'Объемы реализации'!AC14*Цены!AK31/1000</f>
        <v>16399.687500000004</v>
      </c>
      <c r="AC16" s="99">
        <f>'Объемы реализации'!AD14*Цены!AL31/1000</f>
        <v>16399.687500000004</v>
      </c>
      <c r="AD16" s="99">
        <f>'Объемы реализации'!AE14*Цены!AM31/1000</f>
        <v>16399.687500000004</v>
      </c>
      <c r="AE16" s="99">
        <f>'Объемы реализации'!AF14*Цены!AN31/1000</f>
        <v>17219.671875000004</v>
      </c>
      <c r="AF16" s="99">
        <f>'Объемы реализации'!AG14*Цены!AO31/1000</f>
        <v>17219.671875000004</v>
      </c>
      <c r="AG16" s="99">
        <f>'Объемы реализации'!AH14*Цены!AP31/1000</f>
        <v>17219.671875000004</v>
      </c>
      <c r="AH16" s="99">
        <f>'Объемы реализации'!AI14*Цены!AQ31/1000</f>
        <v>17219.671875000004</v>
      </c>
      <c r="AI16" s="99">
        <f>'Объемы реализации'!AJ14*Цены!AR31/1000</f>
        <v>17219.671875000004</v>
      </c>
      <c r="AJ16" s="99">
        <f>'Объемы реализации'!AK14*Цены!AS31/1000</f>
        <v>17219.671875000004</v>
      </c>
      <c r="AK16" s="99">
        <f>'Объемы реализации'!AL14*Цены!AT31/1000</f>
        <v>17219.671875000004</v>
      </c>
      <c r="AL16" s="99">
        <f>'Объемы реализации'!AM14*Цены!AU31/1000</f>
        <v>17219.671875000004</v>
      </c>
      <c r="AM16" s="99">
        <f>'Объемы реализации'!AN14*Цены!AV31/1000</f>
        <v>17219.671875000004</v>
      </c>
      <c r="AN16" s="99">
        <f>'Объемы реализации'!AO14*Цены!AW31/1000</f>
        <v>17219.671875000004</v>
      </c>
      <c r="AO16" s="99">
        <f>'Объемы реализации'!AP14*Цены!AX31/1000</f>
        <v>17219.671875000004</v>
      </c>
      <c r="AP16" s="99">
        <f>'Объемы реализации'!AQ14*Цены!AY31/1000</f>
        <v>17219.671875000004</v>
      </c>
      <c r="AQ16" s="99">
        <f>'Объемы реализации'!AR14*Цены!AZ31/1000</f>
        <v>18080.655468750007</v>
      </c>
      <c r="AR16" s="99">
        <f>'Объемы реализации'!AS14*Цены!BA31/1000</f>
        <v>18080.655468750007</v>
      </c>
      <c r="AS16" s="99">
        <f>'Объемы реализации'!AT14*Цены!BB31/1000</f>
        <v>18080.655468750007</v>
      </c>
      <c r="AT16" s="99">
        <f>'Объемы реализации'!AU14*Цены!BC31/1000</f>
        <v>18080.655468750007</v>
      </c>
      <c r="AU16" s="99">
        <f>'Объемы реализации'!AV14*Цены!BD31/1000</f>
        <v>18080.655468750007</v>
      </c>
      <c r="AV16" s="99">
        <f>'Объемы реализации'!AW14*Цены!BE31/1000</f>
        <v>18080.655468750007</v>
      </c>
      <c r="AW16" s="99">
        <f>'Объемы реализации'!AX14*Цены!BF31/1000</f>
        <v>18080.655468750007</v>
      </c>
      <c r="AX16" s="99">
        <f>'Объемы реализации'!AY14*Цены!BG31/1000</f>
        <v>18080.655468750007</v>
      </c>
      <c r="AY16" s="99">
        <f>'Объемы реализации'!AZ14*Цены!BH31/1000</f>
        <v>18080.655468750007</v>
      </c>
      <c r="AZ16" s="99">
        <f>'Объемы реализации'!BA14*Цены!BI31/1000</f>
        <v>18080.655468750007</v>
      </c>
      <c r="BA16" s="99">
        <f>'Объемы реализации'!BB14*Цены!BJ31/1000</f>
        <v>18080.655468750007</v>
      </c>
      <c r="BB16" s="99">
        <f>'Объемы реализации'!BC14*Цены!BK31/1000</f>
        <v>18080.655468750007</v>
      </c>
      <c r="BC16" s="99">
        <f>'Объемы реализации'!BD14*Цены!BL31/1000</f>
        <v>18984.688242187509</v>
      </c>
      <c r="BD16" s="99">
        <f>'Объемы реализации'!BE14*Цены!BM31/1000</f>
        <v>18984.688242187509</v>
      </c>
      <c r="BE16" s="99">
        <f>'Объемы реализации'!BF14*Цены!BN31/1000</f>
        <v>18984.688242187509</v>
      </c>
      <c r="BF16" s="99">
        <f>'Объемы реализации'!BG14*Цены!BO31/1000</f>
        <v>18984.688242187509</v>
      </c>
      <c r="BG16" s="99">
        <f>'Объемы реализации'!BH14*Цены!BP31/1000</f>
        <v>18984.688242187509</v>
      </c>
      <c r="BH16" s="99">
        <f>'Объемы реализации'!BI14*Цены!BQ31/1000</f>
        <v>18984.688242187509</v>
      </c>
      <c r="BI16" s="99">
        <f>'Объемы реализации'!BJ14*Цены!BR31/1000</f>
        <v>18984.688242187509</v>
      </c>
      <c r="BJ16" s="99">
        <f>'Объемы реализации'!BK14*Цены!BS31/1000</f>
        <v>0</v>
      </c>
      <c r="BL16" s="25">
        <f t="shared" si="16"/>
        <v>8925.0000000000018</v>
      </c>
      <c r="BM16" s="25">
        <f t="shared" si="16"/>
        <v>178053.75000000003</v>
      </c>
      <c r="BN16" s="25">
        <f t="shared" si="16"/>
        <v>196796.25000000003</v>
      </c>
      <c r="BO16" s="25">
        <f t="shared" si="16"/>
        <v>206636.06250000003</v>
      </c>
      <c r="BP16" s="25">
        <f t="shared" si="16"/>
        <v>216967.86562500012</v>
      </c>
      <c r="BQ16" s="25">
        <f t="shared" si="16"/>
        <v>132892.81769531255</v>
      </c>
    </row>
    <row r="17" spans="1:69" ht="14.1" customHeight="1">
      <c r="A17" s="30" t="str">
        <f>Допущения!A39</f>
        <v>Пельмени</v>
      </c>
      <c r="B17" s="53" t="s">
        <v>213</v>
      </c>
      <c r="C17" s="99">
        <f>'Объемы реализации'!D15*Цены!L32/1000</f>
        <v>0</v>
      </c>
      <c r="D17" s="99">
        <f>'Объемы реализации'!E15*Цены!M32/1000</f>
        <v>0</v>
      </c>
      <c r="E17" s="99">
        <f>'Объемы реализации'!F15*Цены!N32/1000</f>
        <v>2833.3333333333335</v>
      </c>
      <c r="F17" s="99">
        <f>'Объемы реализации'!G15*Цены!O32/1000</f>
        <v>5666.666666666667</v>
      </c>
      <c r="G17" s="99">
        <f>'Объемы реализации'!H15*Цены!P32/1000</f>
        <v>8925.0000000000018</v>
      </c>
      <c r="H17" s="99">
        <f>'Объемы реализации'!I15*Цены!Q32/1000</f>
        <v>11900.000000000002</v>
      </c>
      <c r="I17" s="99">
        <f>'Объемы реализации'!J15*Цены!R32/1000</f>
        <v>14875.000000000004</v>
      </c>
      <c r="J17" s="99">
        <f>'Объемы реализации'!K15*Цены!S32/1000</f>
        <v>14875.000000000004</v>
      </c>
      <c r="K17" s="99">
        <f>'Объемы реализации'!L15*Цены!T32/1000</f>
        <v>14875.000000000004</v>
      </c>
      <c r="L17" s="99">
        <f>'Объемы реализации'!M15*Цены!U32/1000</f>
        <v>14875.000000000004</v>
      </c>
      <c r="M17" s="99">
        <f>'Объемы реализации'!N15*Цены!V32/1000</f>
        <v>14875.000000000004</v>
      </c>
      <c r="N17" s="99">
        <f>'Объемы реализации'!O15*Цены!W32/1000</f>
        <v>14875.000000000004</v>
      </c>
      <c r="O17" s="99">
        <f>'Объемы реализации'!P15*Цены!X32/1000</f>
        <v>14875.000000000004</v>
      </c>
      <c r="P17" s="99">
        <f>'Объемы реализации'!Q15*Цены!Y32/1000</f>
        <v>14875.000000000004</v>
      </c>
      <c r="Q17" s="99">
        <f>'Объемы реализации'!R15*Цены!Z32/1000</f>
        <v>14875.000000000004</v>
      </c>
      <c r="R17" s="99">
        <f>'Объемы реализации'!S15*Цены!AA32/1000</f>
        <v>14875.000000000004</v>
      </c>
      <c r="S17" s="99">
        <f>'Объемы реализации'!T15*Цены!AB32/1000</f>
        <v>15618.750000000004</v>
      </c>
      <c r="T17" s="99">
        <f>'Объемы реализации'!U15*Цены!AC32/1000</f>
        <v>15618.750000000004</v>
      </c>
      <c r="U17" s="99">
        <f>'Объемы реализации'!V15*Цены!AD32/1000</f>
        <v>15618.750000000004</v>
      </c>
      <c r="V17" s="99">
        <f>'Объемы реализации'!W15*Цены!AE32/1000</f>
        <v>15618.750000000004</v>
      </c>
      <c r="W17" s="99">
        <f>'Объемы реализации'!X15*Цены!AF32/1000</f>
        <v>15618.750000000004</v>
      </c>
      <c r="X17" s="99">
        <f>'Объемы реализации'!Y15*Цены!AG32/1000</f>
        <v>15618.750000000004</v>
      </c>
      <c r="Y17" s="99">
        <f>'Объемы реализации'!Z15*Цены!AH32/1000</f>
        <v>15618.750000000004</v>
      </c>
      <c r="Z17" s="99">
        <f>'Объемы реализации'!AA15*Цены!AI32/1000</f>
        <v>15618.750000000004</v>
      </c>
      <c r="AA17" s="99">
        <f>'Объемы реализации'!AB15*Цены!AJ32/1000</f>
        <v>15618.750000000004</v>
      </c>
      <c r="AB17" s="99">
        <f>'Объемы реализации'!AC15*Цены!AK32/1000</f>
        <v>15618.750000000004</v>
      </c>
      <c r="AC17" s="99">
        <f>'Объемы реализации'!AD15*Цены!AL32/1000</f>
        <v>15618.750000000004</v>
      </c>
      <c r="AD17" s="99">
        <f>'Объемы реализации'!AE15*Цены!AM32/1000</f>
        <v>15618.750000000004</v>
      </c>
      <c r="AE17" s="99">
        <f>'Объемы реализации'!AF15*Цены!AN32/1000</f>
        <v>16399.687500000004</v>
      </c>
      <c r="AF17" s="99">
        <f>'Объемы реализации'!AG15*Цены!AO32/1000</f>
        <v>16399.687500000004</v>
      </c>
      <c r="AG17" s="99">
        <f>'Объемы реализации'!AH15*Цены!AP32/1000</f>
        <v>16399.687500000004</v>
      </c>
      <c r="AH17" s="99">
        <f>'Объемы реализации'!AI15*Цены!AQ32/1000</f>
        <v>16399.687500000004</v>
      </c>
      <c r="AI17" s="99">
        <f>'Объемы реализации'!AJ15*Цены!AR32/1000</f>
        <v>16399.687500000004</v>
      </c>
      <c r="AJ17" s="99">
        <f>'Объемы реализации'!AK15*Цены!AS32/1000</f>
        <v>16399.687500000004</v>
      </c>
      <c r="AK17" s="99">
        <f>'Объемы реализации'!AL15*Цены!AT32/1000</f>
        <v>16399.687500000004</v>
      </c>
      <c r="AL17" s="99">
        <f>'Объемы реализации'!AM15*Цены!AU32/1000</f>
        <v>16399.687500000004</v>
      </c>
      <c r="AM17" s="99">
        <f>'Объемы реализации'!AN15*Цены!AV32/1000</f>
        <v>16399.687500000004</v>
      </c>
      <c r="AN17" s="99">
        <f>'Объемы реализации'!AO15*Цены!AW32/1000</f>
        <v>16399.687500000004</v>
      </c>
      <c r="AO17" s="99">
        <f>'Объемы реализации'!AP15*Цены!AX32/1000</f>
        <v>16399.687500000004</v>
      </c>
      <c r="AP17" s="99">
        <f>'Объемы реализации'!AQ15*Цены!AY32/1000</f>
        <v>16399.687500000004</v>
      </c>
      <c r="AQ17" s="99">
        <f>'Объемы реализации'!AR15*Цены!AZ32/1000</f>
        <v>17219.671875000007</v>
      </c>
      <c r="AR17" s="99">
        <f>'Объемы реализации'!AS15*Цены!BA32/1000</f>
        <v>17219.671875000007</v>
      </c>
      <c r="AS17" s="99">
        <f>'Объемы реализации'!AT15*Цены!BB32/1000</f>
        <v>17219.671875000007</v>
      </c>
      <c r="AT17" s="99">
        <f>'Объемы реализации'!AU15*Цены!BC32/1000</f>
        <v>17219.671875000007</v>
      </c>
      <c r="AU17" s="99">
        <f>'Объемы реализации'!AV15*Цены!BD32/1000</f>
        <v>17219.671875000007</v>
      </c>
      <c r="AV17" s="99">
        <f>'Объемы реализации'!AW15*Цены!BE32/1000</f>
        <v>17219.671875000007</v>
      </c>
      <c r="AW17" s="99">
        <f>'Объемы реализации'!AX15*Цены!BF32/1000</f>
        <v>17219.671875000007</v>
      </c>
      <c r="AX17" s="99">
        <f>'Объемы реализации'!AY15*Цены!BG32/1000</f>
        <v>17219.671875000007</v>
      </c>
      <c r="AY17" s="99">
        <f>'Объемы реализации'!AZ15*Цены!BH32/1000</f>
        <v>17219.671875000007</v>
      </c>
      <c r="AZ17" s="99">
        <f>'Объемы реализации'!BA15*Цены!BI32/1000</f>
        <v>17219.671875000007</v>
      </c>
      <c r="BA17" s="99">
        <f>'Объемы реализации'!BB15*Цены!BJ32/1000</f>
        <v>17219.671875000007</v>
      </c>
      <c r="BB17" s="99">
        <f>'Объемы реализации'!BC15*Цены!BK32/1000</f>
        <v>17219.671875000007</v>
      </c>
      <c r="BC17" s="99">
        <f>'Объемы реализации'!BD15*Цены!BL32/1000</f>
        <v>18080.655468750007</v>
      </c>
      <c r="BD17" s="99">
        <f>'Объемы реализации'!BE15*Цены!BM32/1000</f>
        <v>18080.655468750007</v>
      </c>
      <c r="BE17" s="99">
        <f>'Объемы реализации'!BF15*Цены!BN32/1000</f>
        <v>18080.655468750007</v>
      </c>
      <c r="BF17" s="99">
        <f>'Объемы реализации'!BG15*Цены!BO32/1000</f>
        <v>18080.655468750007</v>
      </c>
      <c r="BG17" s="99">
        <f>'Объемы реализации'!BH15*Цены!BP32/1000</f>
        <v>18080.655468750007</v>
      </c>
      <c r="BH17" s="99">
        <f>'Объемы реализации'!BI15*Цены!BQ32/1000</f>
        <v>18080.655468750007</v>
      </c>
      <c r="BI17" s="99">
        <f>'Объемы реализации'!BJ15*Цены!BR32/1000</f>
        <v>18080.655468750007</v>
      </c>
      <c r="BJ17" s="99">
        <f>'Объемы реализации'!BK15*Цены!BS32/1000</f>
        <v>0</v>
      </c>
      <c r="BL17" s="25">
        <f t="shared" si="16"/>
        <v>8500</v>
      </c>
      <c r="BM17" s="25">
        <f t="shared" si="16"/>
        <v>169575.00000000003</v>
      </c>
      <c r="BN17" s="25">
        <f t="shared" si="16"/>
        <v>187425.00000000003</v>
      </c>
      <c r="BO17" s="25">
        <f t="shared" si="16"/>
        <v>196796.25000000003</v>
      </c>
      <c r="BP17" s="25">
        <f t="shared" si="16"/>
        <v>206636.06250000003</v>
      </c>
      <c r="BQ17" s="25">
        <f t="shared" si="16"/>
        <v>126564.58828125003</v>
      </c>
    </row>
    <row r="18" spans="1:69" ht="14.1" customHeight="1">
      <c r="A18" s="30" t="str">
        <f>Допущения!A40</f>
        <v>-</v>
      </c>
      <c r="B18" s="53" t="s">
        <v>213</v>
      </c>
      <c r="C18" s="99">
        <f>'Объемы реализации'!D16*Цены!L33/1000</f>
        <v>0</v>
      </c>
      <c r="D18" s="99">
        <f>'Объемы реализации'!E16*Цены!M33/1000</f>
        <v>0</v>
      </c>
      <c r="E18" s="99">
        <f>'Объемы реализации'!F16*Цены!N33/1000</f>
        <v>0</v>
      </c>
      <c r="F18" s="99">
        <f>'Объемы реализации'!G16*Цены!O33/1000</f>
        <v>0</v>
      </c>
      <c r="G18" s="99">
        <f>'Объемы реализации'!H16*Цены!P33/1000</f>
        <v>0</v>
      </c>
      <c r="H18" s="99">
        <f>'Объемы реализации'!I16*Цены!Q33/1000</f>
        <v>0</v>
      </c>
      <c r="I18" s="99">
        <f>'Объемы реализации'!J16*Цены!R33/1000</f>
        <v>0</v>
      </c>
      <c r="J18" s="99">
        <f>'Объемы реализации'!K16*Цены!S33/1000</f>
        <v>0</v>
      </c>
      <c r="K18" s="99">
        <f>'Объемы реализации'!L16*Цены!T33/1000</f>
        <v>0</v>
      </c>
      <c r="L18" s="99">
        <f>'Объемы реализации'!M16*Цены!U33/1000</f>
        <v>0</v>
      </c>
      <c r="M18" s="99">
        <f>'Объемы реализации'!N16*Цены!V33/1000</f>
        <v>0</v>
      </c>
      <c r="N18" s="99">
        <f>'Объемы реализации'!O16*Цены!W33/1000</f>
        <v>0</v>
      </c>
      <c r="O18" s="99">
        <f>'Объемы реализации'!P16*Цены!X33/1000</f>
        <v>0</v>
      </c>
      <c r="P18" s="99">
        <f>'Объемы реализации'!Q16*Цены!Y33/1000</f>
        <v>0</v>
      </c>
      <c r="Q18" s="99">
        <f>'Объемы реализации'!R16*Цены!Z33/1000</f>
        <v>0</v>
      </c>
      <c r="R18" s="99">
        <f>'Объемы реализации'!S16*Цены!AA33/1000</f>
        <v>0</v>
      </c>
      <c r="S18" s="99">
        <f>'Объемы реализации'!T16*Цены!AB33/1000</f>
        <v>0</v>
      </c>
      <c r="T18" s="99">
        <f>'Объемы реализации'!U16*Цены!AC33/1000</f>
        <v>0</v>
      </c>
      <c r="U18" s="99">
        <f>'Объемы реализации'!V16*Цены!AD33/1000</f>
        <v>0</v>
      </c>
      <c r="V18" s="99">
        <f>'Объемы реализации'!W16*Цены!AE33/1000</f>
        <v>0</v>
      </c>
      <c r="W18" s="99">
        <f>'Объемы реализации'!X16*Цены!AF33/1000</f>
        <v>0</v>
      </c>
      <c r="X18" s="99">
        <f>'Объемы реализации'!Y16*Цены!AG33/1000</f>
        <v>0</v>
      </c>
      <c r="Y18" s="99">
        <f>'Объемы реализации'!Z16*Цены!AH33/1000</f>
        <v>0</v>
      </c>
      <c r="Z18" s="99">
        <f>'Объемы реализации'!AA16*Цены!AI33/1000</f>
        <v>0</v>
      </c>
      <c r="AA18" s="99">
        <f>'Объемы реализации'!AB16*Цены!AJ33/1000</f>
        <v>0</v>
      </c>
      <c r="AB18" s="99">
        <f>'Объемы реализации'!AC16*Цены!AK33/1000</f>
        <v>0</v>
      </c>
      <c r="AC18" s="99">
        <f>'Объемы реализации'!AD16*Цены!AL33/1000</f>
        <v>0</v>
      </c>
      <c r="AD18" s="99">
        <f>'Объемы реализации'!AE16*Цены!AM33/1000</f>
        <v>0</v>
      </c>
      <c r="AE18" s="99">
        <f>'Объемы реализации'!AF16*Цены!AN33/1000</f>
        <v>0</v>
      </c>
      <c r="AF18" s="99">
        <f>'Объемы реализации'!AG16*Цены!AO33/1000</f>
        <v>0</v>
      </c>
      <c r="AG18" s="99">
        <f>'Объемы реализации'!AH16*Цены!AP33/1000</f>
        <v>0</v>
      </c>
      <c r="AH18" s="99">
        <f>'Объемы реализации'!AI16*Цены!AQ33/1000</f>
        <v>0</v>
      </c>
      <c r="AI18" s="99">
        <f>'Объемы реализации'!AJ16*Цены!AR33/1000</f>
        <v>0</v>
      </c>
      <c r="AJ18" s="99">
        <f>'Объемы реализации'!AK16*Цены!AS33/1000</f>
        <v>0</v>
      </c>
      <c r="AK18" s="99">
        <f>'Объемы реализации'!AL16*Цены!AT33/1000</f>
        <v>0</v>
      </c>
      <c r="AL18" s="99">
        <f>'Объемы реализации'!AM16*Цены!AU33/1000</f>
        <v>0</v>
      </c>
      <c r="AM18" s="99">
        <f>'Объемы реализации'!AN16*Цены!AV33/1000</f>
        <v>0</v>
      </c>
      <c r="AN18" s="99">
        <f>'Объемы реализации'!AO16*Цены!AW33/1000</f>
        <v>0</v>
      </c>
      <c r="AO18" s="99">
        <f>'Объемы реализации'!AP16*Цены!AX33/1000</f>
        <v>0</v>
      </c>
      <c r="AP18" s="99">
        <f>'Объемы реализации'!AQ16*Цены!AY33/1000</f>
        <v>0</v>
      </c>
      <c r="AQ18" s="99">
        <f>'Объемы реализации'!AR16*Цены!AZ33/1000</f>
        <v>0</v>
      </c>
      <c r="AR18" s="99">
        <f>'Объемы реализации'!AS16*Цены!BA33/1000</f>
        <v>0</v>
      </c>
      <c r="AS18" s="99">
        <f>'Объемы реализации'!AT16*Цены!BB33/1000</f>
        <v>0</v>
      </c>
      <c r="AT18" s="99">
        <f>'Объемы реализации'!AU16*Цены!BC33/1000</f>
        <v>0</v>
      </c>
      <c r="AU18" s="99">
        <f>'Объемы реализации'!AV16*Цены!BD33/1000</f>
        <v>0</v>
      </c>
      <c r="AV18" s="99">
        <f>'Объемы реализации'!AW16*Цены!BE33/1000</f>
        <v>0</v>
      </c>
      <c r="AW18" s="99">
        <f>'Объемы реализации'!AX16*Цены!BF33/1000</f>
        <v>0</v>
      </c>
      <c r="AX18" s="99">
        <f>'Объемы реализации'!AY16*Цены!BG33/1000</f>
        <v>0</v>
      </c>
      <c r="AY18" s="99">
        <f>'Объемы реализации'!AZ16*Цены!BH33/1000</f>
        <v>0</v>
      </c>
      <c r="AZ18" s="99">
        <f>'Объемы реализации'!BA16*Цены!BI33/1000</f>
        <v>0</v>
      </c>
      <c r="BA18" s="99">
        <f>'Объемы реализации'!BB16*Цены!BJ33/1000</f>
        <v>0</v>
      </c>
      <c r="BB18" s="99">
        <f>'Объемы реализации'!BC16*Цены!BK33/1000</f>
        <v>0</v>
      </c>
      <c r="BC18" s="99">
        <f>'Объемы реализации'!BD16*Цены!BL33/1000</f>
        <v>0</v>
      </c>
      <c r="BD18" s="99">
        <f>'Объемы реализации'!BE16*Цены!BM33/1000</f>
        <v>0</v>
      </c>
      <c r="BE18" s="99">
        <f>'Объемы реализации'!BF16*Цены!BN33/1000</f>
        <v>0</v>
      </c>
      <c r="BF18" s="99">
        <f>'Объемы реализации'!BG16*Цены!BO33/1000</f>
        <v>0</v>
      </c>
      <c r="BG18" s="99">
        <f>'Объемы реализации'!BH16*Цены!BP33/1000</f>
        <v>0</v>
      </c>
      <c r="BH18" s="99">
        <f>'Объемы реализации'!BI16*Цены!BQ33/1000</f>
        <v>0</v>
      </c>
      <c r="BI18" s="99">
        <f>'Объемы реализации'!BJ16*Цены!BR33/1000</f>
        <v>0</v>
      </c>
      <c r="BJ18" s="99">
        <f>'Объемы реализации'!BK16*Цены!BS33/1000</f>
        <v>0</v>
      </c>
      <c r="BL18" s="25">
        <f t="shared" si="16"/>
        <v>0</v>
      </c>
      <c r="BM18" s="25">
        <f t="shared" si="16"/>
        <v>0</v>
      </c>
      <c r="BN18" s="25">
        <f t="shared" si="16"/>
        <v>0</v>
      </c>
      <c r="BO18" s="25">
        <f t="shared" si="16"/>
        <v>0</v>
      </c>
      <c r="BP18" s="25">
        <f t="shared" si="16"/>
        <v>0</v>
      </c>
      <c r="BQ18" s="25">
        <f t="shared" si="16"/>
        <v>0</v>
      </c>
    </row>
    <row r="19" spans="1:69" ht="14.1" customHeight="1">
      <c r="A19" s="30" t="str">
        <f>Допущения!A41</f>
        <v>-</v>
      </c>
      <c r="B19" s="53" t="s">
        <v>213</v>
      </c>
      <c r="C19" s="99">
        <f>'Объемы реализации'!D17*Цены!L34/1000</f>
        <v>0</v>
      </c>
      <c r="D19" s="99">
        <f>'Объемы реализации'!E17*Цены!M34/1000</f>
        <v>0</v>
      </c>
      <c r="E19" s="99">
        <f>'Объемы реализации'!F17*Цены!N34/1000</f>
        <v>0</v>
      </c>
      <c r="F19" s="99">
        <f>'Объемы реализации'!G17*Цены!O34/1000</f>
        <v>0</v>
      </c>
      <c r="G19" s="99">
        <f>'Объемы реализации'!H17*Цены!P34/1000</f>
        <v>0</v>
      </c>
      <c r="H19" s="99">
        <f>'Объемы реализации'!I17*Цены!Q34/1000</f>
        <v>0</v>
      </c>
      <c r="I19" s="99">
        <f>'Объемы реализации'!J17*Цены!R34/1000</f>
        <v>0</v>
      </c>
      <c r="J19" s="99">
        <f>'Объемы реализации'!K17*Цены!S34/1000</f>
        <v>0</v>
      </c>
      <c r="K19" s="99">
        <f>'Объемы реализации'!L17*Цены!T34/1000</f>
        <v>0</v>
      </c>
      <c r="L19" s="99">
        <f>'Объемы реализации'!M17*Цены!U34/1000</f>
        <v>0</v>
      </c>
      <c r="M19" s="99">
        <f>'Объемы реализации'!N17*Цены!V34/1000</f>
        <v>0</v>
      </c>
      <c r="N19" s="99">
        <f>'Объемы реализации'!O17*Цены!W34/1000</f>
        <v>0</v>
      </c>
      <c r="O19" s="99">
        <f>'Объемы реализации'!P17*Цены!X34/1000</f>
        <v>0</v>
      </c>
      <c r="P19" s="99">
        <f>'Объемы реализации'!Q17*Цены!Y34/1000</f>
        <v>0</v>
      </c>
      <c r="Q19" s="99">
        <f>'Объемы реализации'!R17*Цены!Z34/1000</f>
        <v>0</v>
      </c>
      <c r="R19" s="99">
        <f>'Объемы реализации'!S17*Цены!AA34/1000</f>
        <v>0</v>
      </c>
      <c r="S19" s="99">
        <f>'Объемы реализации'!T17*Цены!AB34/1000</f>
        <v>0</v>
      </c>
      <c r="T19" s="99">
        <f>'Объемы реализации'!U17*Цены!AC34/1000</f>
        <v>0</v>
      </c>
      <c r="U19" s="99">
        <f>'Объемы реализации'!V17*Цены!AD34/1000</f>
        <v>0</v>
      </c>
      <c r="V19" s="99">
        <f>'Объемы реализации'!W17*Цены!AE34/1000</f>
        <v>0</v>
      </c>
      <c r="W19" s="99">
        <f>'Объемы реализации'!X17*Цены!AF34/1000</f>
        <v>0</v>
      </c>
      <c r="X19" s="99">
        <f>'Объемы реализации'!Y17*Цены!AG34/1000</f>
        <v>0</v>
      </c>
      <c r="Y19" s="99">
        <f>'Объемы реализации'!Z17*Цены!AH34/1000</f>
        <v>0</v>
      </c>
      <c r="Z19" s="99">
        <f>'Объемы реализации'!AA17*Цены!AI34/1000</f>
        <v>0</v>
      </c>
      <c r="AA19" s="99">
        <f>'Объемы реализации'!AB17*Цены!AJ34/1000</f>
        <v>0</v>
      </c>
      <c r="AB19" s="99">
        <f>'Объемы реализации'!AC17*Цены!AK34/1000</f>
        <v>0</v>
      </c>
      <c r="AC19" s="99">
        <f>'Объемы реализации'!AD17*Цены!AL34/1000</f>
        <v>0</v>
      </c>
      <c r="AD19" s="99">
        <f>'Объемы реализации'!AE17*Цены!AM34/1000</f>
        <v>0</v>
      </c>
      <c r="AE19" s="99">
        <f>'Объемы реализации'!AF17*Цены!AN34/1000</f>
        <v>0</v>
      </c>
      <c r="AF19" s="99">
        <f>'Объемы реализации'!AG17*Цены!AO34/1000</f>
        <v>0</v>
      </c>
      <c r="AG19" s="99">
        <f>'Объемы реализации'!AH17*Цены!AP34/1000</f>
        <v>0</v>
      </c>
      <c r="AH19" s="99">
        <f>'Объемы реализации'!AI17*Цены!AQ34/1000</f>
        <v>0</v>
      </c>
      <c r="AI19" s="99">
        <f>'Объемы реализации'!AJ17*Цены!AR34/1000</f>
        <v>0</v>
      </c>
      <c r="AJ19" s="99">
        <f>'Объемы реализации'!AK17*Цены!AS34/1000</f>
        <v>0</v>
      </c>
      <c r="AK19" s="99">
        <f>'Объемы реализации'!AL17*Цены!AT34/1000</f>
        <v>0</v>
      </c>
      <c r="AL19" s="99">
        <f>'Объемы реализации'!AM17*Цены!AU34/1000</f>
        <v>0</v>
      </c>
      <c r="AM19" s="99">
        <f>'Объемы реализации'!AN17*Цены!AV34/1000</f>
        <v>0</v>
      </c>
      <c r="AN19" s="99">
        <f>'Объемы реализации'!AO17*Цены!AW34/1000</f>
        <v>0</v>
      </c>
      <c r="AO19" s="99">
        <f>'Объемы реализации'!AP17*Цены!AX34/1000</f>
        <v>0</v>
      </c>
      <c r="AP19" s="99">
        <f>'Объемы реализации'!AQ17*Цены!AY34/1000</f>
        <v>0</v>
      </c>
      <c r="AQ19" s="99">
        <f>'Объемы реализации'!AR17*Цены!AZ34/1000</f>
        <v>0</v>
      </c>
      <c r="AR19" s="99">
        <f>'Объемы реализации'!AS17*Цены!BA34/1000</f>
        <v>0</v>
      </c>
      <c r="AS19" s="99">
        <f>'Объемы реализации'!AT17*Цены!BB34/1000</f>
        <v>0</v>
      </c>
      <c r="AT19" s="99">
        <f>'Объемы реализации'!AU17*Цены!BC34/1000</f>
        <v>0</v>
      </c>
      <c r="AU19" s="99">
        <f>'Объемы реализации'!AV17*Цены!BD34/1000</f>
        <v>0</v>
      </c>
      <c r="AV19" s="99">
        <f>'Объемы реализации'!AW17*Цены!BE34/1000</f>
        <v>0</v>
      </c>
      <c r="AW19" s="99">
        <f>'Объемы реализации'!AX17*Цены!BF34/1000</f>
        <v>0</v>
      </c>
      <c r="AX19" s="99">
        <f>'Объемы реализации'!AY17*Цены!BG34/1000</f>
        <v>0</v>
      </c>
      <c r="AY19" s="99">
        <f>'Объемы реализации'!AZ17*Цены!BH34/1000</f>
        <v>0</v>
      </c>
      <c r="AZ19" s="99">
        <f>'Объемы реализации'!BA17*Цены!BI34/1000</f>
        <v>0</v>
      </c>
      <c r="BA19" s="99">
        <f>'Объемы реализации'!BB17*Цены!BJ34/1000</f>
        <v>0</v>
      </c>
      <c r="BB19" s="99">
        <f>'Объемы реализации'!BC17*Цены!BK34/1000</f>
        <v>0</v>
      </c>
      <c r="BC19" s="99">
        <f>'Объемы реализации'!BD17*Цены!BL34/1000</f>
        <v>0</v>
      </c>
      <c r="BD19" s="99">
        <f>'Объемы реализации'!BE17*Цены!BM34/1000</f>
        <v>0</v>
      </c>
      <c r="BE19" s="99">
        <f>'Объемы реализации'!BF17*Цены!BN34/1000</f>
        <v>0</v>
      </c>
      <c r="BF19" s="99">
        <f>'Объемы реализации'!BG17*Цены!BO34/1000</f>
        <v>0</v>
      </c>
      <c r="BG19" s="99">
        <f>'Объемы реализации'!BH17*Цены!BP34/1000</f>
        <v>0</v>
      </c>
      <c r="BH19" s="99">
        <f>'Объемы реализации'!BI17*Цены!BQ34/1000</f>
        <v>0</v>
      </c>
      <c r="BI19" s="99">
        <f>'Объемы реализации'!BJ17*Цены!BR34/1000</f>
        <v>0</v>
      </c>
      <c r="BJ19" s="99">
        <f>'Объемы реализации'!BK17*Цены!BS34/1000</f>
        <v>0</v>
      </c>
      <c r="BL19" s="25">
        <f t="shared" si="16"/>
        <v>0</v>
      </c>
      <c r="BM19" s="25">
        <f t="shared" si="16"/>
        <v>0</v>
      </c>
      <c r="BN19" s="25">
        <f t="shared" si="16"/>
        <v>0</v>
      </c>
      <c r="BO19" s="25">
        <f t="shared" si="16"/>
        <v>0</v>
      </c>
      <c r="BP19" s="25">
        <f t="shared" si="16"/>
        <v>0</v>
      </c>
      <c r="BQ19" s="25">
        <f t="shared" si="16"/>
        <v>0</v>
      </c>
    </row>
    <row r="20" spans="1:69" ht="14.1" customHeight="1">
      <c r="A20" s="30" t="str">
        <f>Допущения!A45</f>
        <v>Э/э</v>
      </c>
      <c r="B20" s="53" t="s">
        <v>226</v>
      </c>
      <c r="C20" s="99">
        <f>IF(C$3&lt;Допущения!$E$4,0,Цены!L36/1000)</f>
        <v>0</v>
      </c>
      <c r="D20" s="99">
        <f>IF(D$3&lt;Допущения!$E$4,0,Цены!M36/1000)</f>
        <v>0</v>
      </c>
      <c r="E20" s="99">
        <f>IF(E$3&lt;Допущения!$E$4,0,Цены!N36/1000)</f>
        <v>0</v>
      </c>
      <c r="F20" s="99">
        <f>IF(F$3&lt;Допущения!$E$4,0,Цены!O36/1000)</f>
        <v>924</v>
      </c>
      <c r="G20" s="99">
        <f>IF(G$3&lt;Допущения!$E$4,0,Цены!P36/1000)</f>
        <v>970.2</v>
      </c>
      <c r="H20" s="99">
        <f>IF(H$3&lt;Допущения!$E$4,0,Цены!Q36/1000)</f>
        <v>970.2</v>
      </c>
      <c r="I20" s="99">
        <f>IF(I$3&lt;Допущения!$E$4,0,Цены!R36/1000)</f>
        <v>970.2</v>
      </c>
      <c r="J20" s="99">
        <f>IF(J$3&lt;Допущения!$E$4,0,Цены!S36/1000)</f>
        <v>970.2</v>
      </c>
      <c r="K20" s="99">
        <f>IF(K$3&lt;Допущения!$E$4,0,Цены!T36/1000)</f>
        <v>970.2</v>
      </c>
      <c r="L20" s="99">
        <f>IF(L$3&lt;Допущения!$E$4,0,Цены!U36/1000)</f>
        <v>970.2</v>
      </c>
      <c r="M20" s="99">
        <f>IF(M$3&lt;Допущения!$E$4,0,Цены!V36/1000)</f>
        <v>970.2</v>
      </c>
      <c r="N20" s="99">
        <f>IF(N$3&lt;Допущения!$E$4,0,Цены!W36/1000)</f>
        <v>970.2</v>
      </c>
      <c r="O20" s="99">
        <f>IF(O$3&lt;Допущения!$E$4,0,Цены!X36/1000)</f>
        <v>970.2</v>
      </c>
      <c r="P20" s="99">
        <f>IF(P$3&lt;Допущения!$E$4,0,Цены!Y36/1000)</f>
        <v>970.2</v>
      </c>
      <c r="Q20" s="99">
        <f>IF(Q$3&lt;Допущения!$E$4,0,Цены!Z36/1000)</f>
        <v>970.2</v>
      </c>
      <c r="R20" s="99">
        <f>IF(R$3&lt;Допущения!$E$4,0,Цены!AA36/1000)</f>
        <v>970.2</v>
      </c>
      <c r="S20" s="99">
        <f>IF(S$3&lt;Допущения!$E$4,0,Цены!AB36/1000)</f>
        <v>1018.71</v>
      </c>
      <c r="T20" s="99">
        <f>IF(T$3&lt;Допущения!$E$4,0,Цены!AC36/1000)</f>
        <v>1018.71</v>
      </c>
      <c r="U20" s="99">
        <f>IF(U$3&lt;Допущения!$E$4,0,Цены!AD36/1000)</f>
        <v>1018.71</v>
      </c>
      <c r="V20" s="99">
        <f>IF(V$3&lt;Допущения!$E$4,0,Цены!AE36/1000)</f>
        <v>1018.71</v>
      </c>
      <c r="W20" s="99">
        <f>IF(W$3&lt;Допущения!$E$4,0,Цены!AF36/1000)</f>
        <v>1018.71</v>
      </c>
      <c r="X20" s="99">
        <f>IF(X$3&lt;Допущения!$E$4,0,Цены!AG36/1000)</f>
        <v>1018.71</v>
      </c>
      <c r="Y20" s="99">
        <f>IF(Y$3&lt;Допущения!$E$4,0,Цены!AH36/1000)</f>
        <v>1018.71</v>
      </c>
      <c r="Z20" s="99">
        <f>IF(Z$3&lt;Допущения!$E$4,0,Цены!AI36/1000)</f>
        <v>1018.71</v>
      </c>
      <c r="AA20" s="99">
        <f>IF(AA$3&lt;Допущения!$E$4,0,Цены!AJ36/1000)</f>
        <v>1018.71</v>
      </c>
      <c r="AB20" s="99">
        <f>IF(AB$3&lt;Допущения!$E$4,0,Цены!AK36/1000)</f>
        <v>1018.71</v>
      </c>
      <c r="AC20" s="99">
        <f>IF(AC$3&lt;Допущения!$E$4,0,Цены!AL36/1000)</f>
        <v>1018.71</v>
      </c>
      <c r="AD20" s="99">
        <f>IF(AD$3&lt;Допущения!$E$4,0,Цены!AM36/1000)</f>
        <v>1018.71</v>
      </c>
      <c r="AE20" s="99">
        <f>IF(AE$3&lt;Допущения!$E$4,0,Цены!AN36/1000)</f>
        <v>1069.6455000000003</v>
      </c>
      <c r="AF20" s="99">
        <f>IF(AF$3&lt;Допущения!$E$4,0,Цены!AO36/1000)</f>
        <v>1069.6455000000003</v>
      </c>
      <c r="AG20" s="99">
        <f>IF(AG$3&lt;Допущения!$E$4,0,Цены!AP36/1000)</f>
        <v>1069.6455000000003</v>
      </c>
      <c r="AH20" s="99">
        <f>IF(AH$3&lt;Допущения!$E$4,0,Цены!AQ36/1000)</f>
        <v>1069.6455000000003</v>
      </c>
      <c r="AI20" s="99">
        <f>IF(AI$3&lt;Допущения!$E$4,0,Цены!AR36/1000)</f>
        <v>1069.6455000000003</v>
      </c>
      <c r="AJ20" s="99">
        <f>IF(AJ$3&lt;Допущения!$E$4,0,Цены!AS36/1000)</f>
        <v>1069.6455000000003</v>
      </c>
      <c r="AK20" s="99">
        <f>IF(AK$3&lt;Допущения!$E$4,0,Цены!AT36/1000)</f>
        <v>1069.6455000000003</v>
      </c>
      <c r="AL20" s="99">
        <f>IF(AL$3&lt;Допущения!$E$4,0,Цены!AU36/1000)</f>
        <v>1069.6455000000003</v>
      </c>
      <c r="AM20" s="99">
        <f>IF(AM$3&lt;Допущения!$E$4,0,Цены!AV36/1000)</f>
        <v>1069.6455000000003</v>
      </c>
      <c r="AN20" s="99">
        <f>IF(AN$3&lt;Допущения!$E$4,0,Цены!AW36/1000)</f>
        <v>1069.6455000000003</v>
      </c>
      <c r="AO20" s="99">
        <f>IF(AO$3&lt;Допущения!$E$4,0,Цены!AX36/1000)</f>
        <v>1069.6455000000003</v>
      </c>
      <c r="AP20" s="99">
        <f>IF(AP$3&lt;Допущения!$E$4,0,Цены!AY36/1000)</f>
        <v>1069.6455000000003</v>
      </c>
      <c r="AQ20" s="99">
        <f>IF(AQ$3&lt;Допущения!$E$4,0,Цены!AZ36/1000)</f>
        <v>1123.1277750000002</v>
      </c>
      <c r="AR20" s="99">
        <f>IF(AR$3&lt;Допущения!$E$4,0,Цены!BA36/1000)</f>
        <v>1123.1277750000002</v>
      </c>
      <c r="AS20" s="99">
        <f>IF(AS$3&lt;Допущения!$E$4,0,Цены!BB36/1000)</f>
        <v>1123.1277750000002</v>
      </c>
      <c r="AT20" s="99">
        <f>IF(AT$3&lt;Допущения!$E$4,0,Цены!BC36/1000)</f>
        <v>1123.1277750000002</v>
      </c>
      <c r="AU20" s="99">
        <f>IF(AU$3&lt;Допущения!$E$4,0,Цены!BD36/1000)</f>
        <v>1123.1277750000002</v>
      </c>
      <c r="AV20" s="99">
        <f>IF(AV$3&lt;Допущения!$E$4,0,Цены!BE36/1000)</f>
        <v>1123.1277750000002</v>
      </c>
      <c r="AW20" s="99">
        <f>IF(AW$3&lt;Допущения!$E$4,0,Цены!BF36/1000)</f>
        <v>1123.1277750000002</v>
      </c>
      <c r="AX20" s="99">
        <f>IF(AX$3&lt;Допущения!$E$4,0,Цены!BG36/1000)</f>
        <v>1123.1277750000002</v>
      </c>
      <c r="AY20" s="99">
        <f>IF(AY$3&lt;Допущения!$E$4,0,Цены!BH36/1000)</f>
        <v>1123.1277750000002</v>
      </c>
      <c r="AZ20" s="99">
        <f>IF(AZ$3&lt;Допущения!$E$4,0,Цены!BI36/1000)</f>
        <v>1123.1277750000002</v>
      </c>
      <c r="BA20" s="99">
        <f>IF(BA$3&lt;Допущения!$E$4,0,Цены!BJ36/1000)</f>
        <v>1123.1277750000002</v>
      </c>
      <c r="BB20" s="99">
        <f>IF(BB$3&lt;Допущения!$E$4,0,Цены!BK36/1000)</f>
        <v>1123.1277750000002</v>
      </c>
      <c r="BC20" s="99">
        <f>IF(BC$3&lt;Допущения!$E$4,0,Цены!BL36/1000)</f>
        <v>1179.2841637500003</v>
      </c>
      <c r="BD20" s="99">
        <f>IF(BD$3&lt;Допущения!$E$4,0,Цены!BM36/1000)</f>
        <v>1179.2841637500003</v>
      </c>
      <c r="BE20" s="99">
        <f>IF(BE$3&lt;Допущения!$E$4,0,Цены!BN36/1000)</f>
        <v>1179.2841637500003</v>
      </c>
      <c r="BF20" s="99">
        <f>IF(BF$3&lt;Допущения!$E$4,0,Цены!BO36/1000)</f>
        <v>1179.2841637500003</v>
      </c>
      <c r="BG20" s="99">
        <f>IF(BG$3&lt;Допущения!$E$4,0,Цены!BP36/1000)</f>
        <v>1179.2841637500003</v>
      </c>
      <c r="BH20" s="99">
        <f>IF(BH$3&lt;Допущения!$E$4,0,Цены!BQ36/1000)</f>
        <v>1179.2841637500003</v>
      </c>
      <c r="BI20" s="99">
        <f>IF(BI$3&lt;Допущения!$E$4,0,Цены!BR36/1000)</f>
        <v>1179.2841637500003</v>
      </c>
      <c r="BJ20" s="99">
        <f>IF(BJ$3&lt;Допущения!$E$4,0,Цены!BS36/1000)</f>
        <v>1179.2841637500003</v>
      </c>
      <c r="BL20" s="25">
        <f t="shared" si="16"/>
        <v>924</v>
      </c>
      <c r="BM20" s="25">
        <f t="shared" si="16"/>
        <v>11642.400000000001</v>
      </c>
      <c r="BN20" s="25">
        <f t="shared" si="16"/>
        <v>12224.519999999997</v>
      </c>
      <c r="BO20" s="25">
        <f t="shared" si="16"/>
        <v>12835.746000000005</v>
      </c>
      <c r="BP20" s="25">
        <f t="shared" si="16"/>
        <v>13477.533300000005</v>
      </c>
      <c r="BQ20" s="25">
        <f t="shared" si="16"/>
        <v>9434.2733100000023</v>
      </c>
    </row>
    <row r="21" spans="1:69" ht="14.1" customHeight="1">
      <c r="A21" s="30" t="str">
        <f>Допущения!A46</f>
        <v>Коммунальные платежи</v>
      </c>
      <c r="B21" s="53" t="s">
        <v>226</v>
      </c>
      <c r="C21" s="99">
        <f>IF(C$3&lt;Допущения!$E$4,0,Цены!L37/1000)</f>
        <v>0</v>
      </c>
      <c r="D21" s="99">
        <f>IF(D$3&lt;Допущения!$E$4,0,Цены!M37/1000)</f>
        <v>0</v>
      </c>
      <c r="E21" s="99">
        <f>IF(E$3&lt;Допущения!$E$4,0,Цены!N37/1000)</f>
        <v>0</v>
      </c>
      <c r="F21" s="99">
        <f>IF(F$3&lt;Допущения!$E$4,0,Цены!O37/1000)</f>
        <v>50</v>
      </c>
      <c r="G21" s="99">
        <f>IF(G$3&lt;Допущения!$E$4,0,Цены!P37/1000)</f>
        <v>52.5</v>
      </c>
      <c r="H21" s="99">
        <f>IF(H$3&lt;Допущения!$E$4,0,Цены!Q37/1000)</f>
        <v>52.5</v>
      </c>
      <c r="I21" s="99">
        <f>IF(I$3&lt;Допущения!$E$4,0,Цены!R37/1000)</f>
        <v>52.5</v>
      </c>
      <c r="J21" s="99">
        <f>IF(J$3&lt;Допущения!$E$4,0,Цены!S37/1000)</f>
        <v>52.5</v>
      </c>
      <c r="K21" s="99">
        <f>IF(K$3&lt;Допущения!$E$4,0,Цены!T37/1000)</f>
        <v>52.5</v>
      </c>
      <c r="L21" s="99">
        <f>IF(L$3&lt;Допущения!$E$4,0,Цены!U37/1000)</f>
        <v>52.5</v>
      </c>
      <c r="M21" s="99">
        <f>IF(M$3&lt;Допущения!$E$4,0,Цены!V37/1000)</f>
        <v>52.5</v>
      </c>
      <c r="N21" s="99">
        <f>IF(N$3&lt;Допущения!$E$4,0,Цены!W37/1000)</f>
        <v>52.5</v>
      </c>
      <c r="O21" s="99">
        <f>IF(O$3&lt;Допущения!$E$4,0,Цены!X37/1000)</f>
        <v>52.5</v>
      </c>
      <c r="P21" s="99">
        <f>IF(P$3&lt;Допущения!$E$4,0,Цены!Y37/1000)</f>
        <v>52.5</v>
      </c>
      <c r="Q21" s="99">
        <f>IF(Q$3&lt;Допущения!$E$4,0,Цены!Z37/1000)</f>
        <v>52.5</v>
      </c>
      <c r="R21" s="99">
        <f>IF(R$3&lt;Допущения!$E$4,0,Цены!AA37/1000)</f>
        <v>52.5</v>
      </c>
      <c r="S21" s="99">
        <f>IF(S$3&lt;Допущения!$E$4,0,Цены!AB37/1000)</f>
        <v>55.125</v>
      </c>
      <c r="T21" s="99">
        <f>IF(T$3&lt;Допущения!$E$4,0,Цены!AC37/1000)</f>
        <v>55.125</v>
      </c>
      <c r="U21" s="99">
        <f>IF(U$3&lt;Допущения!$E$4,0,Цены!AD37/1000)</f>
        <v>55.125</v>
      </c>
      <c r="V21" s="99">
        <f>IF(V$3&lt;Допущения!$E$4,0,Цены!AE37/1000)</f>
        <v>55.125</v>
      </c>
      <c r="W21" s="99">
        <f>IF(W$3&lt;Допущения!$E$4,0,Цены!AF37/1000)</f>
        <v>55.125</v>
      </c>
      <c r="X21" s="99">
        <f>IF(X$3&lt;Допущения!$E$4,0,Цены!AG37/1000)</f>
        <v>55.125</v>
      </c>
      <c r="Y21" s="99">
        <f>IF(Y$3&lt;Допущения!$E$4,0,Цены!AH37/1000)</f>
        <v>55.125</v>
      </c>
      <c r="Z21" s="99">
        <f>IF(Z$3&lt;Допущения!$E$4,0,Цены!AI37/1000)</f>
        <v>55.125</v>
      </c>
      <c r="AA21" s="99">
        <f>IF(AA$3&lt;Допущения!$E$4,0,Цены!AJ37/1000)</f>
        <v>55.125</v>
      </c>
      <c r="AB21" s="99">
        <f>IF(AB$3&lt;Допущения!$E$4,0,Цены!AK37/1000)</f>
        <v>55.125</v>
      </c>
      <c r="AC21" s="99">
        <f>IF(AC$3&lt;Допущения!$E$4,0,Цены!AL37/1000)</f>
        <v>55.125</v>
      </c>
      <c r="AD21" s="99">
        <f>IF(AD$3&lt;Допущения!$E$4,0,Цены!AM37/1000)</f>
        <v>55.125</v>
      </c>
      <c r="AE21" s="99">
        <f>IF(AE$3&lt;Допущения!$E$4,0,Цены!AN37/1000)</f>
        <v>57.881250000000009</v>
      </c>
      <c r="AF21" s="99">
        <f>IF(AF$3&lt;Допущения!$E$4,0,Цены!AO37/1000)</f>
        <v>57.881250000000009</v>
      </c>
      <c r="AG21" s="99">
        <f>IF(AG$3&lt;Допущения!$E$4,0,Цены!AP37/1000)</f>
        <v>57.881250000000009</v>
      </c>
      <c r="AH21" s="99">
        <f>IF(AH$3&lt;Допущения!$E$4,0,Цены!AQ37/1000)</f>
        <v>57.881250000000009</v>
      </c>
      <c r="AI21" s="99">
        <f>IF(AI$3&lt;Допущения!$E$4,0,Цены!AR37/1000)</f>
        <v>57.881250000000009</v>
      </c>
      <c r="AJ21" s="99">
        <f>IF(AJ$3&lt;Допущения!$E$4,0,Цены!AS37/1000)</f>
        <v>57.881250000000009</v>
      </c>
      <c r="AK21" s="99">
        <f>IF(AK$3&lt;Допущения!$E$4,0,Цены!AT37/1000)</f>
        <v>57.881250000000009</v>
      </c>
      <c r="AL21" s="99">
        <f>IF(AL$3&lt;Допущения!$E$4,0,Цены!AU37/1000)</f>
        <v>57.881250000000009</v>
      </c>
      <c r="AM21" s="99">
        <f>IF(AM$3&lt;Допущения!$E$4,0,Цены!AV37/1000)</f>
        <v>57.881250000000009</v>
      </c>
      <c r="AN21" s="99">
        <f>IF(AN$3&lt;Допущения!$E$4,0,Цены!AW37/1000)</f>
        <v>57.881250000000009</v>
      </c>
      <c r="AO21" s="99">
        <f>IF(AO$3&lt;Допущения!$E$4,0,Цены!AX37/1000)</f>
        <v>57.881250000000009</v>
      </c>
      <c r="AP21" s="99">
        <f>IF(AP$3&lt;Допущения!$E$4,0,Цены!AY37/1000)</f>
        <v>57.881250000000009</v>
      </c>
      <c r="AQ21" s="99">
        <f>IF(AQ$3&lt;Допущения!$E$4,0,Цены!AZ37/1000)</f>
        <v>60.775312500000013</v>
      </c>
      <c r="AR21" s="99">
        <f>IF(AR$3&lt;Допущения!$E$4,0,Цены!BA37/1000)</f>
        <v>60.775312500000013</v>
      </c>
      <c r="AS21" s="99">
        <f>IF(AS$3&lt;Допущения!$E$4,0,Цены!BB37/1000)</f>
        <v>60.775312500000013</v>
      </c>
      <c r="AT21" s="99">
        <f>IF(AT$3&lt;Допущения!$E$4,0,Цены!BC37/1000)</f>
        <v>60.775312500000013</v>
      </c>
      <c r="AU21" s="99">
        <f>IF(AU$3&lt;Допущения!$E$4,0,Цены!BD37/1000)</f>
        <v>60.775312500000013</v>
      </c>
      <c r="AV21" s="99">
        <f>IF(AV$3&lt;Допущения!$E$4,0,Цены!BE37/1000)</f>
        <v>60.775312500000013</v>
      </c>
      <c r="AW21" s="99">
        <f>IF(AW$3&lt;Допущения!$E$4,0,Цены!BF37/1000)</f>
        <v>60.775312500000013</v>
      </c>
      <c r="AX21" s="99">
        <f>IF(AX$3&lt;Допущения!$E$4,0,Цены!BG37/1000)</f>
        <v>60.775312500000013</v>
      </c>
      <c r="AY21" s="99">
        <f>IF(AY$3&lt;Допущения!$E$4,0,Цены!BH37/1000)</f>
        <v>60.775312500000013</v>
      </c>
      <c r="AZ21" s="99">
        <f>IF(AZ$3&lt;Допущения!$E$4,0,Цены!BI37/1000)</f>
        <v>60.775312500000013</v>
      </c>
      <c r="BA21" s="99">
        <f>IF(BA$3&lt;Допущения!$E$4,0,Цены!BJ37/1000)</f>
        <v>60.775312500000013</v>
      </c>
      <c r="BB21" s="99">
        <f>IF(BB$3&lt;Допущения!$E$4,0,Цены!BK37/1000)</f>
        <v>60.775312500000013</v>
      </c>
      <c r="BC21" s="99">
        <f>IF(BC$3&lt;Допущения!$E$4,0,Цены!BL37/1000)</f>
        <v>63.814078125000016</v>
      </c>
      <c r="BD21" s="99">
        <f>IF(BD$3&lt;Допущения!$E$4,0,Цены!BM37/1000)</f>
        <v>63.814078125000016</v>
      </c>
      <c r="BE21" s="99">
        <f>IF(BE$3&lt;Допущения!$E$4,0,Цены!BN37/1000)</f>
        <v>63.814078125000016</v>
      </c>
      <c r="BF21" s="99">
        <f>IF(BF$3&lt;Допущения!$E$4,0,Цены!BO37/1000)</f>
        <v>63.814078125000016</v>
      </c>
      <c r="BG21" s="99">
        <f>IF(BG$3&lt;Допущения!$E$4,0,Цены!BP37/1000)</f>
        <v>63.814078125000016</v>
      </c>
      <c r="BH21" s="99">
        <f>IF(BH$3&lt;Допущения!$E$4,0,Цены!BQ37/1000)</f>
        <v>63.814078125000016</v>
      </c>
      <c r="BI21" s="99">
        <f>IF(BI$3&lt;Допущения!$E$4,0,Цены!BR37/1000)</f>
        <v>63.814078125000016</v>
      </c>
      <c r="BJ21" s="99">
        <f>IF(BJ$3&lt;Допущения!$E$4,0,Цены!BS37/1000)</f>
        <v>63.814078125000016</v>
      </c>
      <c r="BL21" s="25">
        <f t="shared" ref="BL21:BQ27" si="17">SUMIF($C$2:$BJ$2,BL$2,$C21:$BJ21)</f>
        <v>50</v>
      </c>
      <c r="BM21" s="25">
        <f t="shared" si="17"/>
        <v>630</v>
      </c>
      <c r="BN21" s="25">
        <f t="shared" si="17"/>
        <v>661.5</v>
      </c>
      <c r="BO21" s="25">
        <f t="shared" si="17"/>
        <v>694.57500000000016</v>
      </c>
      <c r="BP21" s="25">
        <f t="shared" si="17"/>
        <v>729.30375000000038</v>
      </c>
      <c r="BQ21" s="25">
        <f t="shared" si="17"/>
        <v>510.51262500000018</v>
      </c>
    </row>
    <row r="22" spans="1:69" ht="14.1" customHeight="1">
      <c r="A22" s="30" t="str">
        <f>Допущения!A47</f>
        <v>ГСМ</v>
      </c>
      <c r="B22" s="30" t="s">
        <v>224</v>
      </c>
      <c r="C22" s="99">
        <f>IF(C$3&lt;Допущения!$E$4,0,Цены!L38/1000)</f>
        <v>0</v>
      </c>
      <c r="D22" s="99">
        <f>IF(D$3&lt;Допущения!$E$4,0,Цены!M38/1000)</f>
        <v>0</v>
      </c>
      <c r="E22" s="99">
        <f>IF(E$3&lt;Допущения!$E$4,0,Цены!N38/1000)</f>
        <v>0</v>
      </c>
      <c r="F22" s="99">
        <f>IF(F$3&lt;Допущения!$E$4,0,Цены!O38/1000)</f>
        <v>41.666666666666671</v>
      </c>
      <c r="G22" s="99">
        <f>IF(G$3&lt;Допущения!$E$4,0,Цены!P38/1000)</f>
        <v>43.750000000000007</v>
      </c>
      <c r="H22" s="99">
        <f>IF(H$3&lt;Допущения!$E$4,0,Цены!Q38/1000)</f>
        <v>43.750000000000007</v>
      </c>
      <c r="I22" s="99">
        <f>IF(I$3&lt;Допущения!$E$4,0,Цены!R38/1000)</f>
        <v>43.750000000000007</v>
      </c>
      <c r="J22" s="99">
        <f>IF(J$3&lt;Допущения!$E$4,0,Цены!S38/1000)</f>
        <v>43.750000000000007</v>
      </c>
      <c r="K22" s="99">
        <f>IF(K$3&lt;Допущения!$E$4,0,Цены!T38/1000)</f>
        <v>43.750000000000007</v>
      </c>
      <c r="L22" s="99">
        <f>IF(L$3&lt;Допущения!$E$4,0,Цены!U38/1000)</f>
        <v>43.750000000000007</v>
      </c>
      <c r="M22" s="99">
        <f>IF(M$3&lt;Допущения!$E$4,0,Цены!V38/1000)</f>
        <v>43.750000000000007</v>
      </c>
      <c r="N22" s="99">
        <f>IF(N$3&lt;Допущения!$E$4,0,Цены!W38/1000)</f>
        <v>43.750000000000007</v>
      </c>
      <c r="O22" s="99">
        <f>IF(O$3&lt;Допущения!$E$4,0,Цены!X38/1000)</f>
        <v>43.750000000000007</v>
      </c>
      <c r="P22" s="99">
        <f>IF(P$3&lt;Допущения!$E$4,0,Цены!Y38/1000)</f>
        <v>43.750000000000007</v>
      </c>
      <c r="Q22" s="99">
        <f>IF(Q$3&lt;Допущения!$E$4,0,Цены!Z38/1000)</f>
        <v>43.750000000000007</v>
      </c>
      <c r="R22" s="99">
        <f>IF(R$3&lt;Допущения!$E$4,0,Цены!AA38/1000)</f>
        <v>43.750000000000007</v>
      </c>
      <c r="S22" s="99">
        <f>IF(S$3&lt;Допущения!$E$4,0,Цены!AB38/1000)</f>
        <v>45.937500000000007</v>
      </c>
      <c r="T22" s="99">
        <f>IF(T$3&lt;Допущения!$E$4,0,Цены!AC38/1000)</f>
        <v>45.937500000000007</v>
      </c>
      <c r="U22" s="99">
        <f>IF(U$3&lt;Допущения!$E$4,0,Цены!AD38/1000)</f>
        <v>45.937500000000007</v>
      </c>
      <c r="V22" s="99">
        <f>IF(V$3&lt;Допущения!$E$4,0,Цены!AE38/1000)</f>
        <v>45.937500000000007</v>
      </c>
      <c r="W22" s="99">
        <f>IF(W$3&lt;Допущения!$E$4,0,Цены!AF38/1000)</f>
        <v>45.937500000000007</v>
      </c>
      <c r="X22" s="99">
        <f>IF(X$3&lt;Допущения!$E$4,0,Цены!AG38/1000)</f>
        <v>45.937500000000007</v>
      </c>
      <c r="Y22" s="99">
        <f>IF(Y$3&lt;Допущения!$E$4,0,Цены!AH38/1000)</f>
        <v>45.937500000000007</v>
      </c>
      <c r="Z22" s="99">
        <f>IF(Z$3&lt;Допущения!$E$4,0,Цены!AI38/1000)</f>
        <v>45.937500000000007</v>
      </c>
      <c r="AA22" s="99">
        <f>IF(AA$3&lt;Допущения!$E$4,0,Цены!AJ38/1000)</f>
        <v>45.937500000000007</v>
      </c>
      <c r="AB22" s="99">
        <f>IF(AB$3&lt;Допущения!$E$4,0,Цены!AK38/1000)</f>
        <v>45.937500000000007</v>
      </c>
      <c r="AC22" s="99">
        <f>IF(AC$3&lt;Допущения!$E$4,0,Цены!AL38/1000)</f>
        <v>45.937500000000007</v>
      </c>
      <c r="AD22" s="99">
        <f>IF(AD$3&lt;Допущения!$E$4,0,Цены!AM38/1000)</f>
        <v>45.937500000000007</v>
      </c>
      <c r="AE22" s="99">
        <f>IF(AE$3&lt;Допущения!$E$4,0,Цены!AN38/1000)</f>
        <v>48.234375000000007</v>
      </c>
      <c r="AF22" s="99">
        <f>IF(AF$3&lt;Допущения!$E$4,0,Цены!AO38/1000)</f>
        <v>48.234375000000007</v>
      </c>
      <c r="AG22" s="99">
        <f>IF(AG$3&lt;Допущения!$E$4,0,Цены!AP38/1000)</f>
        <v>48.234375000000007</v>
      </c>
      <c r="AH22" s="99">
        <f>IF(AH$3&lt;Допущения!$E$4,0,Цены!AQ38/1000)</f>
        <v>48.234375000000007</v>
      </c>
      <c r="AI22" s="99">
        <f>IF(AI$3&lt;Допущения!$E$4,0,Цены!AR38/1000)</f>
        <v>48.234375000000007</v>
      </c>
      <c r="AJ22" s="99">
        <f>IF(AJ$3&lt;Допущения!$E$4,0,Цены!AS38/1000)</f>
        <v>48.234375000000007</v>
      </c>
      <c r="AK22" s="99">
        <f>IF(AK$3&lt;Допущения!$E$4,0,Цены!AT38/1000)</f>
        <v>48.234375000000007</v>
      </c>
      <c r="AL22" s="99">
        <f>IF(AL$3&lt;Допущения!$E$4,0,Цены!AU38/1000)</f>
        <v>48.234375000000007</v>
      </c>
      <c r="AM22" s="99">
        <f>IF(AM$3&lt;Допущения!$E$4,0,Цены!AV38/1000)</f>
        <v>48.234375000000007</v>
      </c>
      <c r="AN22" s="99">
        <f>IF(AN$3&lt;Допущения!$E$4,0,Цены!AW38/1000)</f>
        <v>48.234375000000007</v>
      </c>
      <c r="AO22" s="99">
        <f>IF(AO$3&lt;Допущения!$E$4,0,Цены!AX38/1000)</f>
        <v>48.234375000000007</v>
      </c>
      <c r="AP22" s="99">
        <f>IF(AP$3&lt;Допущения!$E$4,0,Цены!AY38/1000)</f>
        <v>48.234375000000007</v>
      </c>
      <c r="AQ22" s="99">
        <f>IF(AQ$3&lt;Допущения!$E$4,0,Цены!AZ38/1000)</f>
        <v>50.646093750000013</v>
      </c>
      <c r="AR22" s="99">
        <f>IF(AR$3&lt;Допущения!$E$4,0,Цены!BA38/1000)</f>
        <v>50.646093750000013</v>
      </c>
      <c r="AS22" s="99">
        <f>IF(AS$3&lt;Допущения!$E$4,0,Цены!BB38/1000)</f>
        <v>50.646093750000013</v>
      </c>
      <c r="AT22" s="99">
        <f>IF(AT$3&lt;Допущения!$E$4,0,Цены!BC38/1000)</f>
        <v>50.646093750000013</v>
      </c>
      <c r="AU22" s="99">
        <f>IF(AU$3&lt;Допущения!$E$4,0,Цены!BD38/1000)</f>
        <v>50.646093750000013</v>
      </c>
      <c r="AV22" s="99">
        <f>IF(AV$3&lt;Допущения!$E$4,0,Цены!BE38/1000)</f>
        <v>50.646093750000013</v>
      </c>
      <c r="AW22" s="99">
        <f>IF(AW$3&lt;Допущения!$E$4,0,Цены!BF38/1000)</f>
        <v>50.646093750000013</v>
      </c>
      <c r="AX22" s="99">
        <f>IF(AX$3&lt;Допущения!$E$4,0,Цены!BG38/1000)</f>
        <v>50.646093750000013</v>
      </c>
      <c r="AY22" s="99">
        <f>IF(AY$3&lt;Допущения!$E$4,0,Цены!BH38/1000)</f>
        <v>50.646093750000013</v>
      </c>
      <c r="AZ22" s="99">
        <f>IF(AZ$3&lt;Допущения!$E$4,0,Цены!BI38/1000)</f>
        <v>50.646093750000013</v>
      </c>
      <c r="BA22" s="99">
        <f>IF(BA$3&lt;Допущения!$E$4,0,Цены!BJ38/1000)</f>
        <v>50.646093750000013</v>
      </c>
      <c r="BB22" s="99">
        <f>IF(BB$3&lt;Допущения!$E$4,0,Цены!BK38/1000)</f>
        <v>50.646093750000013</v>
      </c>
      <c r="BC22" s="99">
        <f>IF(BC$3&lt;Допущения!$E$4,0,Цены!BL38/1000)</f>
        <v>53.178398437500022</v>
      </c>
      <c r="BD22" s="99">
        <f>IF(BD$3&lt;Допущения!$E$4,0,Цены!BM38/1000)</f>
        <v>53.178398437500022</v>
      </c>
      <c r="BE22" s="99">
        <f>IF(BE$3&lt;Допущения!$E$4,0,Цены!BN38/1000)</f>
        <v>53.178398437500022</v>
      </c>
      <c r="BF22" s="99">
        <f>IF(BF$3&lt;Допущения!$E$4,0,Цены!BO38/1000)</f>
        <v>53.178398437500022</v>
      </c>
      <c r="BG22" s="99">
        <f>IF(BG$3&lt;Допущения!$E$4,0,Цены!BP38/1000)</f>
        <v>53.178398437500022</v>
      </c>
      <c r="BH22" s="99">
        <f>IF(BH$3&lt;Допущения!$E$4,0,Цены!BQ38/1000)</f>
        <v>53.178398437500022</v>
      </c>
      <c r="BI22" s="99">
        <f>IF(BI$3&lt;Допущения!$E$4,0,Цены!BR38/1000)</f>
        <v>53.178398437500022</v>
      </c>
      <c r="BJ22" s="99">
        <f>IF(BJ$3&lt;Допущения!$E$4,0,Цены!BS38/1000)</f>
        <v>53.178398437500022</v>
      </c>
      <c r="BL22" s="25">
        <f t="shared" si="17"/>
        <v>41.666666666666671</v>
      </c>
      <c r="BM22" s="25">
        <f t="shared" si="17"/>
        <v>525.00000000000011</v>
      </c>
      <c r="BN22" s="25">
        <f t="shared" si="17"/>
        <v>551.25000000000011</v>
      </c>
      <c r="BO22" s="25">
        <f t="shared" si="17"/>
        <v>578.81250000000011</v>
      </c>
      <c r="BP22" s="25">
        <f t="shared" si="17"/>
        <v>607.75312500000018</v>
      </c>
      <c r="BQ22" s="25">
        <f t="shared" si="17"/>
        <v>425.42718750000029</v>
      </c>
    </row>
    <row r="23" spans="1:69" ht="14.1" customHeight="1">
      <c r="A23" s="30" t="str">
        <f>Допущения!A49</f>
        <v>-</v>
      </c>
      <c r="B23" s="53" t="s">
        <v>221</v>
      </c>
      <c r="C23" s="99">
        <f>IF(C$3&lt;Допущения!$E$4,0,Цены!L39/1000)</f>
        <v>0</v>
      </c>
      <c r="D23" s="99">
        <f>IF(D$3&lt;Допущения!$E$4,0,Цены!M39/1000)</f>
        <v>0</v>
      </c>
      <c r="E23" s="99">
        <f>IF(E$3&lt;Допущения!$E$4,0,Цены!N39/1000)</f>
        <v>0</v>
      </c>
      <c r="F23" s="99">
        <f>IF(F$3&lt;Допущения!$E$4,0,Цены!O39/1000)</f>
        <v>0</v>
      </c>
      <c r="G23" s="99">
        <f>IF(G$3&lt;Допущения!$E$4,0,Цены!P39/1000)</f>
        <v>0</v>
      </c>
      <c r="H23" s="99">
        <f>IF(H$3&lt;Допущения!$E$4,0,Цены!Q39/1000)</f>
        <v>0</v>
      </c>
      <c r="I23" s="99">
        <f>IF(I$3&lt;Допущения!$E$4,0,Цены!R39/1000)</f>
        <v>0</v>
      </c>
      <c r="J23" s="99">
        <f>IF(J$3&lt;Допущения!$E$4,0,Цены!S39/1000)</f>
        <v>0</v>
      </c>
      <c r="K23" s="99">
        <f>IF(K$3&lt;Допущения!$E$4,0,Цены!T39/1000)</f>
        <v>0</v>
      </c>
      <c r="L23" s="99">
        <f>IF(L$3&lt;Допущения!$E$4,0,Цены!U39/1000)</f>
        <v>0</v>
      </c>
      <c r="M23" s="99">
        <f>IF(M$3&lt;Допущения!$E$4,0,Цены!V39/1000)</f>
        <v>0</v>
      </c>
      <c r="N23" s="99">
        <f>IF(N$3&lt;Допущения!$E$4,0,Цены!W39/1000)</f>
        <v>0</v>
      </c>
      <c r="O23" s="99">
        <f>IF(O$3&lt;Допущения!$E$4,0,Цены!X39/1000)</f>
        <v>0</v>
      </c>
      <c r="P23" s="99">
        <f>IF(P$3&lt;Допущения!$E$4,0,Цены!Y39/1000)</f>
        <v>0</v>
      </c>
      <c r="Q23" s="99">
        <f>IF(Q$3&lt;Допущения!$E$4,0,Цены!Z39/1000)</f>
        <v>0</v>
      </c>
      <c r="R23" s="99">
        <f>IF(R$3&lt;Допущения!$E$4,0,Цены!AA39/1000)</f>
        <v>0</v>
      </c>
      <c r="S23" s="99">
        <f>IF(S$3&lt;Допущения!$E$4,0,Цены!AB39/1000)</f>
        <v>0</v>
      </c>
      <c r="T23" s="99">
        <f>IF(T$3&lt;Допущения!$E$4,0,Цены!AC39/1000)</f>
        <v>0</v>
      </c>
      <c r="U23" s="99">
        <f>IF(U$3&lt;Допущения!$E$4,0,Цены!AD39/1000)</f>
        <v>0</v>
      </c>
      <c r="V23" s="99">
        <f>IF(V$3&lt;Допущения!$E$4,0,Цены!AE39/1000)</f>
        <v>0</v>
      </c>
      <c r="W23" s="99">
        <f>IF(W$3&lt;Допущения!$E$4,0,Цены!AF39/1000)</f>
        <v>0</v>
      </c>
      <c r="X23" s="99">
        <f>IF(X$3&lt;Допущения!$E$4,0,Цены!AG39/1000)</f>
        <v>0</v>
      </c>
      <c r="Y23" s="99">
        <f>IF(Y$3&lt;Допущения!$E$4,0,Цены!AH39/1000)</f>
        <v>0</v>
      </c>
      <c r="Z23" s="99">
        <f>IF(Z$3&lt;Допущения!$E$4,0,Цены!AI39/1000)</f>
        <v>0</v>
      </c>
      <c r="AA23" s="99">
        <f>IF(AA$3&lt;Допущения!$E$4,0,Цены!AJ39/1000)</f>
        <v>0</v>
      </c>
      <c r="AB23" s="99">
        <f>IF(AB$3&lt;Допущения!$E$4,0,Цены!AK39/1000)</f>
        <v>0</v>
      </c>
      <c r="AC23" s="99">
        <f>IF(AC$3&lt;Допущения!$E$4,0,Цены!AL39/1000)</f>
        <v>0</v>
      </c>
      <c r="AD23" s="99">
        <f>IF(AD$3&lt;Допущения!$E$4,0,Цены!AM39/1000)</f>
        <v>0</v>
      </c>
      <c r="AE23" s="99">
        <f>IF(AE$3&lt;Допущения!$E$4,0,Цены!AN39/1000)</f>
        <v>0</v>
      </c>
      <c r="AF23" s="99">
        <f>IF(AF$3&lt;Допущения!$E$4,0,Цены!AO39/1000)</f>
        <v>0</v>
      </c>
      <c r="AG23" s="99">
        <f>IF(AG$3&lt;Допущения!$E$4,0,Цены!AP39/1000)</f>
        <v>0</v>
      </c>
      <c r="AH23" s="99">
        <f>IF(AH$3&lt;Допущения!$E$4,0,Цены!AQ39/1000)</f>
        <v>0</v>
      </c>
      <c r="AI23" s="99">
        <f>IF(AI$3&lt;Допущения!$E$4,0,Цены!AR39/1000)</f>
        <v>0</v>
      </c>
      <c r="AJ23" s="99">
        <f>IF(AJ$3&lt;Допущения!$E$4,0,Цены!AS39/1000)</f>
        <v>0</v>
      </c>
      <c r="AK23" s="99">
        <f>IF(AK$3&lt;Допущения!$E$4,0,Цены!AT39/1000)</f>
        <v>0</v>
      </c>
      <c r="AL23" s="99">
        <f>IF(AL$3&lt;Допущения!$E$4,0,Цены!AU39/1000)</f>
        <v>0</v>
      </c>
      <c r="AM23" s="99">
        <f>IF(AM$3&lt;Допущения!$E$4,0,Цены!AV39/1000)</f>
        <v>0</v>
      </c>
      <c r="AN23" s="99">
        <f>IF(AN$3&lt;Допущения!$E$4,0,Цены!AW39/1000)</f>
        <v>0</v>
      </c>
      <c r="AO23" s="99">
        <f>IF(AO$3&lt;Допущения!$E$4,0,Цены!AX39/1000)</f>
        <v>0</v>
      </c>
      <c r="AP23" s="99">
        <f>IF(AP$3&lt;Допущения!$E$4,0,Цены!AY39/1000)</f>
        <v>0</v>
      </c>
      <c r="AQ23" s="99">
        <f>IF(AQ$3&lt;Допущения!$E$4,0,Цены!AZ39/1000)</f>
        <v>0</v>
      </c>
      <c r="AR23" s="99">
        <f>IF(AR$3&lt;Допущения!$E$4,0,Цены!BA39/1000)</f>
        <v>0</v>
      </c>
      <c r="AS23" s="99">
        <f>IF(AS$3&lt;Допущения!$E$4,0,Цены!BB39/1000)</f>
        <v>0</v>
      </c>
      <c r="AT23" s="99">
        <f>IF(AT$3&lt;Допущения!$E$4,0,Цены!BC39/1000)</f>
        <v>0</v>
      </c>
      <c r="AU23" s="99">
        <f>IF(AU$3&lt;Допущения!$E$4,0,Цены!BD39/1000)</f>
        <v>0</v>
      </c>
      <c r="AV23" s="99">
        <f>IF(AV$3&lt;Допущения!$E$4,0,Цены!BE39/1000)</f>
        <v>0</v>
      </c>
      <c r="AW23" s="99">
        <f>IF(AW$3&lt;Допущения!$E$4,0,Цены!BF39/1000)</f>
        <v>0</v>
      </c>
      <c r="AX23" s="99">
        <f>IF(AX$3&lt;Допущения!$E$4,0,Цены!BG39/1000)</f>
        <v>0</v>
      </c>
      <c r="AY23" s="99">
        <f>IF(AY$3&lt;Допущения!$E$4,0,Цены!BH39/1000)</f>
        <v>0</v>
      </c>
      <c r="AZ23" s="99">
        <f>IF(AZ$3&lt;Допущения!$E$4,0,Цены!BI39/1000)</f>
        <v>0</v>
      </c>
      <c r="BA23" s="99">
        <f>IF(BA$3&lt;Допущения!$E$4,0,Цены!BJ39/1000)</f>
        <v>0</v>
      </c>
      <c r="BB23" s="99">
        <f>IF(BB$3&lt;Допущения!$E$4,0,Цены!BK39/1000)</f>
        <v>0</v>
      </c>
      <c r="BC23" s="99">
        <f>IF(BC$3&lt;Допущения!$E$4,0,Цены!BL39/1000)</f>
        <v>0</v>
      </c>
      <c r="BD23" s="99">
        <f>IF(BD$3&lt;Допущения!$E$4,0,Цены!BM39/1000)</f>
        <v>0</v>
      </c>
      <c r="BE23" s="99">
        <f>IF(BE$3&lt;Допущения!$E$4,0,Цены!BN39/1000)</f>
        <v>0</v>
      </c>
      <c r="BF23" s="99">
        <f>IF(BF$3&lt;Допущения!$E$4,0,Цены!BO39/1000)</f>
        <v>0</v>
      </c>
      <c r="BG23" s="99">
        <f>IF(BG$3&lt;Допущения!$E$4,0,Цены!BP39/1000)</f>
        <v>0</v>
      </c>
      <c r="BH23" s="99">
        <f>IF(BH$3&lt;Допущения!$E$4,0,Цены!BQ39/1000)</f>
        <v>0</v>
      </c>
      <c r="BI23" s="99">
        <f>IF(BI$3&lt;Допущения!$E$4,0,Цены!BR39/1000)</f>
        <v>0</v>
      </c>
      <c r="BJ23" s="99">
        <f>IF(BJ$3&lt;Допущения!$E$4,0,Цены!BS39/1000)</f>
        <v>0</v>
      </c>
      <c r="BL23" s="25">
        <f t="shared" si="17"/>
        <v>0</v>
      </c>
      <c r="BM23" s="25">
        <f t="shared" si="17"/>
        <v>0</v>
      </c>
      <c r="BN23" s="25">
        <f t="shared" si="17"/>
        <v>0</v>
      </c>
      <c r="BO23" s="25">
        <f t="shared" si="17"/>
        <v>0</v>
      </c>
      <c r="BP23" s="25">
        <f t="shared" si="17"/>
        <v>0</v>
      </c>
      <c r="BQ23" s="25">
        <f t="shared" si="17"/>
        <v>0</v>
      </c>
    </row>
    <row r="24" spans="1:69" ht="14.1" customHeight="1">
      <c r="A24" s="30" t="str">
        <f>Допущения!A50</f>
        <v>-</v>
      </c>
      <c r="B24" s="53" t="s">
        <v>221</v>
      </c>
      <c r="C24" s="99">
        <f>IF(C$3&lt;Допущения!$E$4,0,Цены!L40/1000)</f>
        <v>0</v>
      </c>
      <c r="D24" s="99">
        <f>IF(D$3&lt;Допущения!$E$4,0,Цены!M40/1000)</f>
        <v>0</v>
      </c>
      <c r="E24" s="99">
        <f>IF(E$3&lt;Допущения!$E$4,0,Цены!N40/1000)</f>
        <v>0</v>
      </c>
      <c r="F24" s="99">
        <f>IF(F$3&lt;Допущения!$E$4,0,Цены!O40/1000)</f>
        <v>0</v>
      </c>
      <c r="G24" s="99">
        <f>IF(G$3&lt;Допущения!$E$4,0,Цены!P40/1000)</f>
        <v>0</v>
      </c>
      <c r="H24" s="99">
        <f>IF(H$3&lt;Допущения!$E$4,0,Цены!Q40/1000)</f>
        <v>0</v>
      </c>
      <c r="I24" s="99">
        <f>IF(I$3&lt;Допущения!$E$4,0,Цены!R40/1000)</f>
        <v>0</v>
      </c>
      <c r="J24" s="99">
        <f>IF(J$3&lt;Допущения!$E$4,0,Цены!S40/1000)</f>
        <v>0</v>
      </c>
      <c r="K24" s="99">
        <f>IF(K$3&lt;Допущения!$E$4,0,Цены!T40/1000)</f>
        <v>0</v>
      </c>
      <c r="L24" s="99">
        <f>IF(L$3&lt;Допущения!$E$4,0,Цены!U40/1000)</f>
        <v>0</v>
      </c>
      <c r="M24" s="99">
        <f>IF(M$3&lt;Допущения!$E$4,0,Цены!V40/1000)</f>
        <v>0</v>
      </c>
      <c r="N24" s="99">
        <f>IF(N$3&lt;Допущения!$E$4,0,Цены!W40/1000)</f>
        <v>0</v>
      </c>
      <c r="O24" s="99">
        <f>IF(O$3&lt;Допущения!$E$4,0,Цены!X40/1000)</f>
        <v>0</v>
      </c>
      <c r="P24" s="99">
        <f>IF(P$3&lt;Допущения!$E$4,0,Цены!Y40/1000)</f>
        <v>0</v>
      </c>
      <c r="Q24" s="99">
        <f>IF(Q$3&lt;Допущения!$E$4,0,Цены!Z40/1000)</f>
        <v>0</v>
      </c>
      <c r="R24" s="99">
        <f>IF(R$3&lt;Допущения!$E$4,0,Цены!AA40/1000)</f>
        <v>0</v>
      </c>
      <c r="S24" s="99">
        <f>IF(S$3&lt;Допущения!$E$4,0,Цены!AB40/1000)</f>
        <v>0</v>
      </c>
      <c r="T24" s="99">
        <f>IF(T$3&lt;Допущения!$E$4,0,Цены!AC40/1000)</f>
        <v>0</v>
      </c>
      <c r="U24" s="99">
        <f>IF(U$3&lt;Допущения!$E$4,0,Цены!AD40/1000)</f>
        <v>0</v>
      </c>
      <c r="V24" s="99">
        <f>IF(V$3&lt;Допущения!$E$4,0,Цены!AE40/1000)</f>
        <v>0</v>
      </c>
      <c r="W24" s="99">
        <f>IF(W$3&lt;Допущения!$E$4,0,Цены!AF40/1000)</f>
        <v>0</v>
      </c>
      <c r="X24" s="99">
        <f>IF(X$3&lt;Допущения!$E$4,0,Цены!AG40/1000)</f>
        <v>0</v>
      </c>
      <c r="Y24" s="99">
        <f>IF(Y$3&lt;Допущения!$E$4,0,Цены!AH40/1000)</f>
        <v>0</v>
      </c>
      <c r="Z24" s="99">
        <f>IF(Z$3&lt;Допущения!$E$4,0,Цены!AI40/1000)</f>
        <v>0</v>
      </c>
      <c r="AA24" s="99">
        <f>IF(AA$3&lt;Допущения!$E$4,0,Цены!AJ40/1000)</f>
        <v>0</v>
      </c>
      <c r="AB24" s="99">
        <f>IF(AB$3&lt;Допущения!$E$4,0,Цены!AK40/1000)</f>
        <v>0</v>
      </c>
      <c r="AC24" s="99">
        <f>IF(AC$3&lt;Допущения!$E$4,0,Цены!AL40/1000)</f>
        <v>0</v>
      </c>
      <c r="AD24" s="99">
        <f>IF(AD$3&lt;Допущения!$E$4,0,Цены!AM40/1000)</f>
        <v>0</v>
      </c>
      <c r="AE24" s="99">
        <f>IF(AE$3&lt;Допущения!$E$4,0,Цены!AN40/1000)</f>
        <v>0</v>
      </c>
      <c r="AF24" s="99">
        <f>IF(AF$3&lt;Допущения!$E$4,0,Цены!AO40/1000)</f>
        <v>0</v>
      </c>
      <c r="AG24" s="99">
        <f>IF(AG$3&lt;Допущения!$E$4,0,Цены!AP40/1000)</f>
        <v>0</v>
      </c>
      <c r="AH24" s="99">
        <f>IF(AH$3&lt;Допущения!$E$4,0,Цены!AQ40/1000)</f>
        <v>0</v>
      </c>
      <c r="AI24" s="99">
        <f>IF(AI$3&lt;Допущения!$E$4,0,Цены!AR40/1000)</f>
        <v>0</v>
      </c>
      <c r="AJ24" s="99">
        <f>IF(AJ$3&lt;Допущения!$E$4,0,Цены!AS40/1000)</f>
        <v>0</v>
      </c>
      <c r="AK24" s="99">
        <f>IF(AK$3&lt;Допущения!$E$4,0,Цены!AT40/1000)</f>
        <v>0</v>
      </c>
      <c r="AL24" s="99">
        <f>IF(AL$3&lt;Допущения!$E$4,0,Цены!AU40/1000)</f>
        <v>0</v>
      </c>
      <c r="AM24" s="99">
        <f>IF(AM$3&lt;Допущения!$E$4,0,Цены!AV40/1000)</f>
        <v>0</v>
      </c>
      <c r="AN24" s="99">
        <f>IF(AN$3&lt;Допущения!$E$4,0,Цены!AW40/1000)</f>
        <v>0</v>
      </c>
      <c r="AO24" s="99">
        <f>IF(AO$3&lt;Допущения!$E$4,0,Цены!AX40/1000)</f>
        <v>0</v>
      </c>
      <c r="AP24" s="99">
        <f>IF(AP$3&lt;Допущения!$E$4,0,Цены!AY40/1000)</f>
        <v>0</v>
      </c>
      <c r="AQ24" s="99">
        <f>IF(AQ$3&lt;Допущения!$E$4,0,Цены!AZ40/1000)</f>
        <v>0</v>
      </c>
      <c r="AR24" s="99">
        <f>IF(AR$3&lt;Допущения!$E$4,0,Цены!BA40/1000)</f>
        <v>0</v>
      </c>
      <c r="AS24" s="99">
        <f>IF(AS$3&lt;Допущения!$E$4,0,Цены!BB40/1000)</f>
        <v>0</v>
      </c>
      <c r="AT24" s="99">
        <f>IF(AT$3&lt;Допущения!$E$4,0,Цены!BC40/1000)</f>
        <v>0</v>
      </c>
      <c r="AU24" s="99">
        <f>IF(AU$3&lt;Допущения!$E$4,0,Цены!BD40/1000)</f>
        <v>0</v>
      </c>
      <c r="AV24" s="99">
        <f>IF(AV$3&lt;Допущения!$E$4,0,Цены!BE40/1000)</f>
        <v>0</v>
      </c>
      <c r="AW24" s="99">
        <f>IF(AW$3&lt;Допущения!$E$4,0,Цены!BF40/1000)</f>
        <v>0</v>
      </c>
      <c r="AX24" s="99">
        <f>IF(AX$3&lt;Допущения!$E$4,0,Цены!BG40/1000)</f>
        <v>0</v>
      </c>
      <c r="AY24" s="99">
        <f>IF(AY$3&lt;Допущения!$E$4,0,Цены!BH40/1000)</f>
        <v>0</v>
      </c>
      <c r="AZ24" s="99">
        <f>IF(AZ$3&lt;Допущения!$E$4,0,Цены!BI40/1000)</f>
        <v>0</v>
      </c>
      <c r="BA24" s="99">
        <f>IF(BA$3&lt;Допущения!$E$4,0,Цены!BJ40/1000)</f>
        <v>0</v>
      </c>
      <c r="BB24" s="99">
        <f>IF(BB$3&lt;Допущения!$E$4,0,Цены!BK40/1000)</f>
        <v>0</v>
      </c>
      <c r="BC24" s="99">
        <f>IF(BC$3&lt;Допущения!$E$4,0,Цены!BL40/1000)</f>
        <v>0</v>
      </c>
      <c r="BD24" s="99">
        <f>IF(BD$3&lt;Допущения!$E$4,0,Цены!BM40/1000)</f>
        <v>0</v>
      </c>
      <c r="BE24" s="99">
        <f>IF(BE$3&lt;Допущения!$E$4,0,Цены!BN40/1000)</f>
        <v>0</v>
      </c>
      <c r="BF24" s="99">
        <f>IF(BF$3&lt;Допущения!$E$4,0,Цены!BO40/1000)</f>
        <v>0</v>
      </c>
      <c r="BG24" s="99">
        <f>IF(BG$3&lt;Допущения!$E$4,0,Цены!BP40/1000)</f>
        <v>0</v>
      </c>
      <c r="BH24" s="99">
        <f>IF(BH$3&lt;Допущения!$E$4,0,Цены!BQ40/1000)</f>
        <v>0</v>
      </c>
      <c r="BI24" s="99">
        <f>IF(BI$3&lt;Допущения!$E$4,0,Цены!BR40/1000)</f>
        <v>0</v>
      </c>
      <c r="BJ24" s="99">
        <f>IF(BJ$3&lt;Допущения!$E$4,0,Цены!BS40/1000)</f>
        <v>0</v>
      </c>
      <c r="BL24" s="25">
        <f t="shared" si="17"/>
        <v>0</v>
      </c>
      <c r="BM24" s="25">
        <f t="shared" si="17"/>
        <v>0</v>
      </c>
      <c r="BN24" s="25">
        <f t="shared" si="17"/>
        <v>0</v>
      </c>
      <c r="BO24" s="25">
        <f t="shared" si="17"/>
        <v>0</v>
      </c>
      <c r="BP24" s="25">
        <f t="shared" si="17"/>
        <v>0</v>
      </c>
      <c r="BQ24" s="25">
        <f t="shared" si="17"/>
        <v>0</v>
      </c>
    </row>
    <row r="25" spans="1:69" ht="14.1" customHeight="1">
      <c r="A25" s="30" t="str">
        <f>Допущения!A51</f>
        <v>-</v>
      </c>
      <c r="B25" s="53" t="s">
        <v>221</v>
      </c>
      <c r="C25" s="99">
        <f>IF(C$3&lt;Допущения!$E$4,0,Цены!L41/1000)</f>
        <v>0</v>
      </c>
      <c r="D25" s="99">
        <f>IF(D$3&lt;Допущения!$E$4,0,Цены!M41/1000)</f>
        <v>0</v>
      </c>
      <c r="E25" s="99">
        <f>IF(E$3&lt;Допущения!$E$4,0,Цены!N41/1000)</f>
        <v>0</v>
      </c>
      <c r="F25" s="99">
        <f>IF(F$3&lt;Допущения!$E$4,0,Цены!O41/1000)</f>
        <v>0</v>
      </c>
      <c r="G25" s="99">
        <f>IF(G$3&lt;Допущения!$E$4,0,Цены!P41/1000)</f>
        <v>0</v>
      </c>
      <c r="H25" s="99">
        <f>IF(H$3&lt;Допущения!$E$4,0,Цены!Q41/1000)</f>
        <v>0</v>
      </c>
      <c r="I25" s="99">
        <f>IF(I$3&lt;Допущения!$E$4,0,Цены!R41/1000)</f>
        <v>0</v>
      </c>
      <c r="J25" s="99">
        <f>IF(J$3&lt;Допущения!$E$4,0,Цены!S41/1000)</f>
        <v>0</v>
      </c>
      <c r="K25" s="99">
        <f>IF(K$3&lt;Допущения!$E$4,0,Цены!T41/1000)</f>
        <v>0</v>
      </c>
      <c r="L25" s="99">
        <f>IF(L$3&lt;Допущения!$E$4,0,Цены!U41/1000)</f>
        <v>0</v>
      </c>
      <c r="M25" s="99">
        <f>IF(M$3&lt;Допущения!$E$4,0,Цены!V41/1000)</f>
        <v>0</v>
      </c>
      <c r="N25" s="99">
        <f>IF(N$3&lt;Допущения!$E$4,0,Цены!W41/1000)</f>
        <v>0</v>
      </c>
      <c r="O25" s="99">
        <f>IF(O$3&lt;Допущения!$E$4,0,Цены!X41/1000)</f>
        <v>0</v>
      </c>
      <c r="P25" s="99">
        <f>IF(P$3&lt;Допущения!$E$4,0,Цены!Y41/1000)</f>
        <v>0</v>
      </c>
      <c r="Q25" s="99">
        <f>IF(Q$3&lt;Допущения!$E$4,0,Цены!Z41/1000)</f>
        <v>0</v>
      </c>
      <c r="R25" s="99">
        <f>IF(R$3&lt;Допущения!$E$4,0,Цены!AA41/1000)</f>
        <v>0</v>
      </c>
      <c r="S25" s="99">
        <f>IF(S$3&lt;Допущения!$E$4,0,Цены!AB41/1000)</f>
        <v>0</v>
      </c>
      <c r="T25" s="99">
        <f>IF(T$3&lt;Допущения!$E$4,0,Цены!AC41/1000)</f>
        <v>0</v>
      </c>
      <c r="U25" s="99">
        <f>IF(U$3&lt;Допущения!$E$4,0,Цены!AD41/1000)</f>
        <v>0</v>
      </c>
      <c r="V25" s="99">
        <f>IF(V$3&lt;Допущения!$E$4,0,Цены!AE41/1000)</f>
        <v>0</v>
      </c>
      <c r="W25" s="99">
        <f>IF(W$3&lt;Допущения!$E$4,0,Цены!AF41/1000)</f>
        <v>0</v>
      </c>
      <c r="X25" s="99">
        <f>IF(X$3&lt;Допущения!$E$4,0,Цены!AG41/1000)</f>
        <v>0</v>
      </c>
      <c r="Y25" s="99">
        <f>IF(Y$3&lt;Допущения!$E$4,0,Цены!AH41/1000)</f>
        <v>0</v>
      </c>
      <c r="Z25" s="99">
        <f>IF(Z$3&lt;Допущения!$E$4,0,Цены!AI41/1000)</f>
        <v>0</v>
      </c>
      <c r="AA25" s="99">
        <f>IF(AA$3&lt;Допущения!$E$4,0,Цены!AJ41/1000)</f>
        <v>0</v>
      </c>
      <c r="AB25" s="99">
        <f>IF(AB$3&lt;Допущения!$E$4,0,Цены!AK41/1000)</f>
        <v>0</v>
      </c>
      <c r="AC25" s="99">
        <f>IF(AC$3&lt;Допущения!$E$4,0,Цены!AL41/1000)</f>
        <v>0</v>
      </c>
      <c r="AD25" s="99">
        <f>IF(AD$3&lt;Допущения!$E$4,0,Цены!AM41/1000)</f>
        <v>0</v>
      </c>
      <c r="AE25" s="99">
        <f>IF(AE$3&lt;Допущения!$E$4,0,Цены!AN41/1000)</f>
        <v>0</v>
      </c>
      <c r="AF25" s="99">
        <f>IF(AF$3&lt;Допущения!$E$4,0,Цены!AO41/1000)</f>
        <v>0</v>
      </c>
      <c r="AG25" s="99">
        <f>IF(AG$3&lt;Допущения!$E$4,0,Цены!AP41/1000)</f>
        <v>0</v>
      </c>
      <c r="AH25" s="99">
        <f>IF(AH$3&lt;Допущения!$E$4,0,Цены!AQ41/1000)</f>
        <v>0</v>
      </c>
      <c r="AI25" s="99">
        <f>IF(AI$3&lt;Допущения!$E$4,0,Цены!AR41/1000)</f>
        <v>0</v>
      </c>
      <c r="AJ25" s="99">
        <f>IF(AJ$3&lt;Допущения!$E$4,0,Цены!AS41/1000)</f>
        <v>0</v>
      </c>
      <c r="AK25" s="99">
        <f>IF(AK$3&lt;Допущения!$E$4,0,Цены!AT41/1000)</f>
        <v>0</v>
      </c>
      <c r="AL25" s="99">
        <f>IF(AL$3&lt;Допущения!$E$4,0,Цены!AU41/1000)</f>
        <v>0</v>
      </c>
      <c r="AM25" s="99">
        <f>IF(AM$3&lt;Допущения!$E$4,0,Цены!AV41/1000)</f>
        <v>0</v>
      </c>
      <c r="AN25" s="99">
        <f>IF(AN$3&lt;Допущения!$E$4,0,Цены!AW41/1000)</f>
        <v>0</v>
      </c>
      <c r="AO25" s="99">
        <f>IF(AO$3&lt;Допущения!$E$4,0,Цены!AX41/1000)</f>
        <v>0</v>
      </c>
      <c r="AP25" s="99">
        <f>IF(AP$3&lt;Допущения!$E$4,0,Цены!AY41/1000)</f>
        <v>0</v>
      </c>
      <c r="AQ25" s="99">
        <f>IF(AQ$3&lt;Допущения!$E$4,0,Цены!AZ41/1000)</f>
        <v>0</v>
      </c>
      <c r="AR25" s="99">
        <f>IF(AR$3&lt;Допущения!$E$4,0,Цены!BA41/1000)</f>
        <v>0</v>
      </c>
      <c r="AS25" s="99">
        <f>IF(AS$3&lt;Допущения!$E$4,0,Цены!BB41/1000)</f>
        <v>0</v>
      </c>
      <c r="AT25" s="99">
        <f>IF(AT$3&lt;Допущения!$E$4,0,Цены!BC41/1000)</f>
        <v>0</v>
      </c>
      <c r="AU25" s="99">
        <f>IF(AU$3&lt;Допущения!$E$4,0,Цены!BD41/1000)</f>
        <v>0</v>
      </c>
      <c r="AV25" s="99">
        <f>IF(AV$3&lt;Допущения!$E$4,0,Цены!BE41/1000)</f>
        <v>0</v>
      </c>
      <c r="AW25" s="99">
        <f>IF(AW$3&lt;Допущения!$E$4,0,Цены!BF41/1000)</f>
        <v>0</v>
      </c>
      <c r="AX25" s="99">
        <f>IF(AX$3&lt;Допущения!$E$4,0,Цены!BG41/1000)</f>
        <v>0</v>
      </c>
      <c r="AY25" s="99">
        <f>IF(AY$3&lt;Допущения!$E$4,0,Цены!BH41/1000)</f>
        <v>0</v>
      </c>
      <c r="AZ25" s="99">
        <f>IF(AZ$3&lt;Допущения!$E$4,0,Цены!BI41/1000)</f>
        <v>0</v>
      </c>
      <c r="BA25" s="99">
        <f>IF(BA$3&lt;Допущения!$E$4,0,Цены!BJ41/1000)</f>
        <v>0</v>
      </c>
      <c r="BB25" s="99">
        <f>IF(BB$3&lt;Допущения!$E$4,0,Цены!BK41/1000)</f>
        <v>0</v>
      </c>
      <c r="BC25" s="99">
        <f>IF(BC$3&lt;Допущения!$E$4,0,Цены!BL41/1000)</f>
        <v>0</v>
      </c>
      <c r="BD25" s="99">
        <f>IF(BD$3&lt;Допущения!$E$4,0,Цены!BM41/1000)</f>
        <v>0</v>
      </c>
      <c r="BE25" s="99">
        <f>IF(BE$3&lt;Допущения!$E$4,0,Цены!BN41/1000)</f>
        <v>0</v>
      </c>
      <c r="BF25" s="99">
        <f>IF(BF$3&lt;Допущения!$E$4,0,Цены!BO41/1000)</f>
        <v>0</v>
      </c>
      <c r="BG25" s="99">
        <f>IF(BG$3&lt;Допущения!$E$4,0,Цены!BP41/1000)</f>
        <v>0</v>
      </c>
      <c r="BH25" s="99">
        <f>IF(BH$3&lt;Допущения!$E$4,0,Цены!BQ41/1000)</f>
        <v>0</v>
      </c>
      <c r="BI25" s="99">
        <f>IF(BI$3&lt;Допущения!$E$4,0,Цены!BR41/1000)</f>
        <v>0</v>
      </c>
      <c r="BJ25" s="99">
        <f>IF(BJ$3&lt;Допущения!$E$4,0,Цены!BS41/1000)</f>
        <v>0</v>
      </c>
      <c r="BL25" s="25">
        <f t="shared" si="17"/>
        <v>0</v>
      </c>
      <c r="BM25" s="25">
        <f t="shared" si="17"/>
        <v>0</v>
      </c>
      <c r="BN25" s="25">
        <f t="shared" si="17"/>
        <v>0</v>
      </c>
      <c r="BO25" s="25">
        <f t="shared" si="17"/>
        <v>0</v>
      </c>
      <c r="BP25" s="25">
        <f t="shared" si="17"/>
        <v>0</v>
      </c>
      <c r="BQ25" s="25">
        <f t="shared" si="17"/>
        <v>0</v>
      </c>
    </row>
    <row r="26" spans="1:69" ht="14.1" customHeight="1">
      <c r="A26" s="27" t="s">
        <v>27</v>
      </c>
      <c r="B26" s="28" t="s">
        <v>27</v>
      </c>
      <c r="C26" s="99">
        <f>Амортизация!C$22</f>
        <v>0</v>
      </c>
      <c r="D26" s="99">
        <f>Амортизация!D$22</f>
        <v>0</v>
      </c>
      <c r="E26" s="99">
        <f>Амортизация!E$22</f>
        <v>0</v>
      </c>
      <c r="F26" s="99">
        <f>Амортизация!F$22</f>
        <v>771.04206018518516</v>
      </c>
      <c r="G26" s="99">
        <f>Амортизация!G$22</f>
        <v>771.04206018518516</v>
      </c>
      <c r="H26" s="99">
        <f>Амортизация!H$22</f>
        <v>771.04206018518516</v>
      </c>
      <c r="I26" s="99">
        <f>Амортизация!I$22</f>
        <v>771.04206018518516</v>
      </c>
      <c r="J26" s="99">
        <f>Амортизация!J$22</f>
        <v>771.04206018518516</v>
      </c>
      <c r="K26" s="99">
        <f>Амортизация!K$22</f>
        <v>771.04206018518516</v>
      </c>
      <c r="L26" s="99">
        <f>Амортизация!L$22</f>
        <v>771.04206018518516</v>
      </c>
      <c r="M26" s="99">
        <f>Амортизация!M$22</f>
        <v>771.04206018518516</v>
      </c>
      <c r="N26" s="99">
        <f>Амортизация!N$22</f>
        <v>771.04206018518516</v>
      </c>
      <c r="O26" s="99">
        <f>Амортизация!O$22</f>
        <v>771.04206018518516</v>
      </c>
      <c r="P26" s="99">
        <f>Амортизация!P$22</f>
        <v>771.04206018518516</v>
      </c>
      <c r="Q26" s="99">
        <f>Амортизация!Q$22</f>
        <v>771.04206018518516</v>
      </c>
      <c r="R26" s="99">
        <f>Амортизация!R$22</f>
        <v>771.04206018518516</v>
      </c>
      <c r="S26" s="99">
        <f>Амортизация!S$22</f>
        <v>771.04206018518516</v>
      </c>
      <c r="T26" s="99">
        <f>Амортизация!T$22</f>
        <v>771.04206018518516</v>
      </c>
      <c r="U26" s="99">
        <f>Амортизация!U$22</f>
        <v>771.04206018518516</v>
      </c>
      <c r="V26" s="99">
        <f>Амортизация!V$22</f>
        <v>771.04206018518516</v>
      </c>
      <c r="W26" s="99">
        <f>Амортизация!W$22</f>
        <v>771.04206018518516</v>
      </c>
      <c r="X26" s="99">
        <f>Амортизация!X$22</f>
        <v>771.04206018518516</v>
      </c>
      <c r="Y26" s="99">
        <f>Амортизация!Y$22</f>
        <v>771.04206018518516</v>
      </c>
      <c r="Z26" s="99">
        <f>Амортизация!Z$22</f>
        <v>771.04206018518516</v>
      </c>
      <c r="AA26" s="99">
        <f>Амортизация!AA$22</f>
        <v>771.04206018518516</v>
      </c>
      <c r="AB26" s="99">
        <f>Амортизация!AB$22</f>
        <v>771.04206018518516</v>
      </c>
      <c r="AC26" s="99">
        <f>Амортизация!AC$22</f>
        <v>771.04206018518516</v>
      </c>
      <c r="AD26" s="99">
        <f>Амортизация!AD$22</f>
        <v>771.04206018518516</v>
      </c>
      <c r="AE26" s="99">
        <f>Амортизация!AE$22</f>
        <v>771.04206018518516</v>
      </c>
      <c r="AF26" s="99">
        <f>Амортизация!AF$22</f>
        <v>771.04206018518516</v>
      </c>
      <c r="AG26" s="99">
        <f>Амортизация!AG$22</f>
        <v>771.04206018518516</v>
      </c>
      <c r="AH26" s="99">
        <f>Амортизация!AH$22</f>
        <v>771.04206018518516</v>
      </c>
      <c r="AI26" s="99">
        <f>Амортизация!AI$22</f>
        <v>771.04206018518516</v>
      </c>
      <c r="AJ26" s="99">
        <f>Амортизация!AJ$22</f>
        <v>771.04206018518516</v>
      </c>
      <c r="AK26" s="99">
        <f>Амортизация!AK$22</f>
        <v>771.04206018518516</v>
      </c>
      <c r="AL26" s="99">
        <f>Амортизация!AL$22</f>
        <v>771.04206018518516</v>
      </c>
      <c r="AM26" s="99">
        <f>Амортизация!AM$22</f>
        <v>771.04206018518516</v>
      </c>
      <c r="AN26" s="99">
        <f>Амортизация!AN$22</f>
        <v>771.04206018518516</v>
      </c>
      <c r="AO26" s="99">
        <f>Амортизация!AO$22</f>
        <v>771.04206018518516</v>
      </c>
      <c r="AP26" s="99">
        <f>Амортизация!AP$22</f>
        <v>771.04206018518516</v>
      </c>
      <c r="AQ26" s="99">
        <f>Амортизация!AQ$22</f>
        <v>771.04206018518516</v>
      </c>
      <c r="AR26" s="99">
        <f>Амортизация!AR$22</f>
        <v>771.04206018518516</v>
      </c>
      <c r="AS26" s="99">
        <f>Амортизация!AS$22</f>
        <v>771.04206018518516</v>
      </c>
      <c r="AT26" s="99">
        <f>Амортизация!AT$22</f>
        <v>771.04206018518516</v>
      </c>
      <c r="AU26" s="99">
        <f>Амортизация!AU$22</f>
        <v>771.04206018518516</v>
      </c>
      <c r="AV26" s="99">
        <f>Амортизация!AV$22</f>
        <v>771.04206018518516</v>
      </c>
      <c r="AW26" s="99">
        <f>Амортизация!AW$22</f>
        <v>771.04206018518516</v>
      </c>
      <c r="AX26" s="99">
        <f>Амортизация!AX$22</f>
        <v>771.04206018518516</v>
      </c>
      <c r="AY26" s="99">
        <f>Амортизация!AY$22</f>
        <v>771.04206018518516</v>
      </c>
      <c r="AZ26" s="99">
        <f>Амортизация!AZ$22</f>
        <v>771.04206018518516</v>
      </c>
      <c r="BA26" s="99">
        <f>Амортизация!BA$22</f>
        <v>771.04206018518516</v>
      </c>
      <c r="BB26" s="99">
        <f>Амортизация!BB$22</f>
        <v>771.04206018518516</v>
      </c>
      <c r="BC26" s="99">
        <f>Амортизация!BC$22</f>
        <v>771.04206018518516</v>
      </c>
      <c r="BD26" s="99">
        <f>Амортизация!BD$22</f>
        <v>771.04206018518516</v>
      </c>
      <c r="BE26" s="99">
        <f>Амортизация!BE$22</f>
        <v>771.04206018518516</v>
      </c>
      <c r="BF26" s="99">
        <f>Амортизация!BF$22</f>
        <v>771.04206018518516</v>
      </c>
      <c r="BG26" s="99">
        <f>Амортизация!BG$22</f>
        <v>771.04206018518516</v>
      </c>
      <c r="BH26" s="99">
        <f>Амортизация!BH$22</f>
        <v>771.04206018518516</v>
      </c>
      <c r="BI26" s="99">
        <f>Амортизация!BI$22</f>
        <v>771.04206018518516</v>
      </c>
      <c r="BJ26" s="99">
        <f>Амортизация!BJ$22</f>
        <v>771.04206018518516</v>
      </c>
      <c r="BL26" s="25">
        <f t="shared" si="17"/>
        <v>771.04206018518516</v>
      </c>
      <c r="BM26" s="25">
        <f t="shared" si="17"/>
        <v>9252.5047222222238</v>
      </c>
      <c r="BN26" s="25">
        <f t="shared" si="17"/>
        <v>9252.5047222222238</v>
      </c>
      <c r="BO26" s="25">
        <f t="shared" si="17"/>
        <v>9252.5047222222238</v>
      </c>
      <c r="BP26" s="25">
        <f t="shared" si="17"/>
        <v>9252.5047222222238</v>
      </c>
      <c r="BQ26" s="25">
        <f t="shared" si="17"/>
        <v>6168.3364814814813</v>
      </c>
    </row>
    <row r="27" spans="1:69" ht="14.1" customHeight="1">
      <c r="A27" s="30" t="s">
        <v>39</v>
      </c>
      <c r="B27" s="53" t="s">
        <v>221</v>
      </c>
      <c r="C27" s="99">
        <f>SUM(C8:C26)*Допущения!$C$67</f>
        <v>0</v>
      </c>
      <c r="D27" s="99">
        <f>SUM(D8:D26)*Допущения!$C$67</f>
        <v>0</v>
      </c>
      <c r="E27" s="99">
        <f>SUM(E8:E26)*Допущения!$C$67</f>
        <v>842.49999999999989</v>
      </c>
      <c r="F27" s="99">
        <f>SUM(F8:F26)*Допущения!$C$67</f>
        <v>1968.502361805555</v>
      </c>
      <c r="G27" s="99">
        <f>SUM(G8:G26)*Допущения!$C$67</f>
        <v>2945.7978948055556</v>
      </c>
      <c r="H27" s="99">
        <f>SUM(H8:H26)*Допущения!$C$67</f>
        <v>3830.4228948055556</v>
      </c>
      <c r="I27" s="99">
        <f>SUM(I8:I26)*Допущения!$C$67</f>
        <v>4715.0478948055561</v>
      </c>
      <c r="J27" s="99">
        <f>SUM(J8:J26)*Допущения!$C$67</f>
        <v>4715.0478948055561</v>
      </c>
      <c r="K27" s="99">
        <f>SUM(K8:K26)*Допущения!$C$67</f>
        <v>4715.0478948055561</v>
      </c>
      <c r="L27" s="99">
        <f>SUM(L8:L26)*Допущения!$C$67</f>
        <v>4715.0478948055561</v>
      </c>
      <c r="M27" s="99">
        <f>SUM(M8:M26)*Допущения!$C$67</f>
        <v>4715.0478948055561</v>
      </c>
      <c r="N27" s="99">
        <f>SUM(N8:N26)*Допущения!$C$67</f>
        <v>4715.0478948055561</v>
      </c>
      <c r="O27" s="99">
        <f>SUM(O8:O26)*Допущения!$C$67</f>
        <v>4715.0478948055561</v>
      </c>
      <c r="P27" s="99">
        <f>SUM(P8:P26)*Допущения!$C$67</f>
        <v>4715.0478948055561</v>
      </c>
      <c r="Q27" s="99">
        <f>SUM(Q8:Q26)*Допущения!$C$67</f>
        <v>4715.0478948055561</v>
      </c>
      <c r="R27" s="99">
        <f>SUM(R8:R26)*Допущения!$C$67</f>
        <v>4715.0478948055561</v>
      </c>
      <c r="S27" s="99">
        <f>SUM(S8:S26)*Допущения!$C$67</f>
        <v>4944.9077637955561</v>
      </c>
      <c r="T27" s="99">
        <f>SUM(T8:T26)*Допущения!$C$67</f>
        <v>4944.9077637955561</v>
      </c>
      <c r="U27" s="99">
        <f>SUM(U8:U26)*Допущения!$C$67</f>
        <v>4944.9077637955561</v>
      </c>
      <c r="V27" s="99">
        <f>SUM(V8:V26)*Допущения!$C$67</f>
        <v>4944.9077637955561</v>
      </c>
      <c r="W27" s="99">
        <f>SUM(W8:W26)*Допущения!$C$67</f>
        <v>4944.9077637955561</v>
      </c>
      <c r="X27" s="99">
        <f>SUM(X8:X26)*Допущения!$C$67</f>
        <v>4944.9077637955561</v>
      </c>
      <c r="Y27" s="99">
        <f>SUM(Y8:Y26)*Допущения!$C$67</f>
        <v>4944.9077637955561</v>
      </c>
      <c r="Z27" s="99">
        <f>SUM(Z8:Z26)*Допущения!$C$67</f>
        <v>4944.9077637955561</v>
      </c>
      <c r="AA27" s="99">
        <f>SUM(AA8:AA26)*Допущения!$C$67</f>
        <v>4944.9077637955561</v>
      </c>
      <c r="AB27" s="99">
        <f>SUM(AB8:AB26)*Допущения!$C$67</f>
        <v>4944.9077637955561</v>
      </c>
      <c r="AC27" s="99">
        <f>SUM(AC8:AC26)*Допущения!$C$67</f>
        <v>4944.9077637955561</v>
      </c>
      <c r="AD27" s="99">
        <f>SUM(AD8:AD26)*Допущения!$C$67</f>
        <v>4944.9077637955561</v>
      </c>
      <c r="AE27" s="99">
        <f>SUM(AE8:AE26)*Допущения!$C$67</f>
        <v>5186.1185473552569</v>
      </c>
      <c r="AF27" s="99">
        <f>SUM(AF8:AF26)*Допущения!$C$67</f>
        <v>5186.1185473552569</v>
      </c>
      <c r="AG27" s="99">
        <f>SUM(AG8:AG26)*Допущения!$C$67</f>
        <v>5186.1185473552569</v>
      </c>
      <c r="AH27" s="99">
        <f>SUM(AH8:AH26)*Допущения!$C$67</f>
        <v>5186.1185473552569</v>
      </c>
      <c r="AI27" s="99">
        <f>SUM(AI8:AI26)*Допущения!$C$67</f>
        <v>5186.1185473552569</v>
      </c>
      <c r="AJ27" s="99">
        <f>SUM(AJ8:AJ26)*Допущения!$C$67</f>
        <v>5186.1185473552569</v>
      </c>
      <c r="AK27" s="99">
        <f>SUM(AK8:AK26)*Допущения!$C$67</f>
        <v>5186.1185473552569</v>
      </c>
      <c r="AL27" s="99">
        <f>SUM(AL8:AL26)*Допущения!$C$67</f>
        <v>5186.1185473552569</v>
      </c>
      <c r="AM27" s="99">
        <f>SUM(AM8:AM26)*Допущения!$C$67</f>
        <v>5186.1185473552569</v>
      </c>
      <c r="AN27" s="99">
        <f>SUM(AN8:AN26)*Допущения!$C$67</f>
        <v>5186.1185473552569</v>
      </c>
      <c r="AO27" s="99">
        <f>SUM(AO8:AO26)*Допущения!$C$67</f>
        <v>5186.1185473552569</v>
      </c>
      <c r="AP27" s="99">
        <f>SUM(AP8:AP26)*Допущения!$C$67</f>
        <v>5186.1185473552569</v>
      </c>
      <c r="AQ27" s="99">
        <f>SUM(AQ8:AQ26)*Допущения!$C$67</f>
        <v>5439.2435288467477</v>
      </c>
      <c r="AR27" s="99">
        <f>SUM(AR8:AR26)*Допущения!$C$67</f>
        <v>5439.2435288467477</v>
      </c>
      <c r="AS27" s="99">
        <f>SUM(AS8:AS26)*Допущения!$C$67</f>
        <v>5439.2435288467477</v>
      </c>
      <c r="AT27" s="99">
        <f>SUM(AT8:AT26)*Допущения!$C$67</f>
        <v>5439.2435288467477</v>
      </c>
      <c r="AU27" s="99">
        <f>SUM(AU8:AU26)*Допущения!$C$67</f>
        <v>5439.2435288467477</v>
      </c>
      <c r="AV27" s="99">
        <f>SUM(AV8:AV26)*Допущения!$C$67</f>
        <v>5439.2435288467477</v>
      </c>
      <c r="AW27" s="99">
        <f>SUM(AW8:AW26)*Допущения!$C$67</f>
        <v>5439.2435288467477</v>
      </c>
      <c r="AX27" s="99">
        <f>SUM(AX8:AX26)*Допущения!$C$67</f>
        <v>5439.2435288467477</v>
      </c>
      <c r="AY27" s="99">
        <f>SUM(AY8:AY26)*Допущения!$C$67</f>
        <v>5439.2435288467477</v>
      </c>
      <c r="AZ27" s="99">
        <f>SUM(AZ8:AZ26)*Допущения!$C$67</f>
        <v>5439.2435288467477</v>
      </c>
      <c r="BA27" s="99">
        <f>SUM(BA8:BA26)*Допущения!$C$67</f>
        <v>5439.2435288467477</v>
      </c>
      <c r="BB27" s="99">
        <f>SUM(BB8:BB26)*Допущения!$C$67</f>
        <v>5439.2435288467477</v>
      </c>
      <c r="BC27" s="99">
        <f>SUM(BC8:BC26)*Допущения!$C$67</f>
        <v>5704.874027929236</v>
      </c>
      <c r="BD27" s="99">
        <f>SUM(BD8:BD26)*Допущения!$C$67</f>
        <v>5704.874027929236</v>
      </c>
      <c r="BE27" s="99">
        <f>SUM(BE8:BE26)*Допущения!$C$67</f>
        <v>5704.874027929236</v>
      </c>
      <c r="BF27" s="99">
        <f>SUM(BF8:BF26)*Допущения!$C$67</f>
        <v>5704.874027929236</v>
      </c>
      <c r="BG27" s="99">
        <f>SUM(BG8:BG26)*Допущения!$C$67</f>
        <v>5704.874027929236</v>
      </c>
      <c r="BH27" s="99">
        <f>SUM(BH8:BH26)*Допущения!$C$67</f>
        <v>5704.874027929236</v>
      </c>
      <c r="BI27" s="99">
        <f>SUM(BI8:BI26)*Допущения!$C$67</f>
        <v>5704.874027929236</v>
      </c>
      <c r="BJ27" s="99">
        <f>SUM(BJ8:BJ26)*Допущения!$C$67</f>
        <v>328.5379458979823</v>
      </c>
      <c r="BL27" s="25">
        <f t="shared" si="17"/>
        <v>2811.0023618055548</v>
      </c>
      <c r="BM27" s="25">
        <f t="shared" si="17"/>
        <v>53926.699737666662</v>
      </c>
      <c r="BN27" s="25">
        <f t="shared" si="17"/>
        <v>59338.893165546673</v>
      </c>
      <c r="BO27" s="25">
        <f t="shared" si="17"/>
        <v>62233.422568263071</v>
      </c>
      <c r="BP27" s="25">
        <f t="shared" si="17"/>
        <v>65270.922346160958</v>
      </c>
      <c r="BQ27" s="25">
        <f t="shared" si="17"/>
        <v>40262.656141402629</v>
      </c>
    </row>
    <row r="28" spans="1:69">
      <c r="A28" s="18" t="s">
        <v>11</v>
      </c>
      <c r="B28" s="18"/>
      <c r="C28" s="98">
        <f>SUM(C8:C27)*'Анализ чувствительности'!$B$8/100</f>
        <v>0</v>
      </c>
      <c r="D28" s="98">
        <f>SUM(D8:D27)*'Анализ чувствительности'!$B$8/100</f>
        <v>0</v>
      </c>
      <c r="E28" s="98">
        <f>SUM(E8:E27)*'Анализ чувствительности'!$B$8/100</f>
        <v>28925.833333333328</v>
      </c>
      <c r="F28" s="98">
        <f>SUM(F8:F27)*'Анализ чувствительности'!$B$8/100</f>
        <v>67585.247755324061</v>
      </c>
      <c r="G28" s="98">
        <f>SUM(G8:G27)*'Анализ чувствительности'!$B$8/100</f>
        <v>101139.06105499074</v>
      </c>
      <c r="H28" s="98">
        <f>SUM(H8:H27)*'Анализ чувствительности'!$B$8/100</f>
        <v>131511.18605499074</v>
      </c>
      <c r="I28" s="98">
        <f>SUM(I8:I27)*'Анализ чувствительности'!$B$8/100</f>
        <v>161883.31105499077</v>
      </c>
      <c r="J28" s="98">
        <f>SUM(J8:J27)*'Анализ чувствительности'!$B$8/100</f>
        <v>161883.31105499077</v>
      </c>
      <c r="K28" s="98">
        <f>SUM(K8:K27)*'Анализ чувствительности'!$B$8/100</f>
        <v>161883.31105499077</v>
      </c>
      <c r="L28" s="98">
        <f>SUM(L8:L27)*'Анализ чувствительности'!$B$8/100</f>
        <v>161883.31105499077</v>
      </c>
      <c r="M28" s="98">
        <f>SUM(M8:M27)*'Анализ чувствительности'!$B$8/100</f>
        <v>161883.31105499077</v>
      </c>
      <c r="N28" s="98">
        <f>SUM(N8:N27)*'Анализ чувствительности'!$B$8/100</f>
        <v>161883.31105499077</v>
      </c>
      <c r="O28" s="98">
        <f>SUM(O8:O27)*'Анализ чувствительности'!$B$8/100</f>
        <v>161883.31105499077</v>
      </c>
      <c r="P28" s="98">
        <f>SUM(P8:P27)*'Анализ чувствительности'!$B$8/100</f>
        <v>161883.31105499077</v>
      </c>
      <c r="Q28" s="98">
        <f>SUM(Q8:Q27)*'Анализ чувствительности'!$B$8/100</f>
        <v>161883.31105499077</v>
      </c>
      <c r="R28" s="98">
        <f>SUM(R8:R27)*'Анализ чувствительности'!$B$8/100</f>
        <v>161883.31105499077</v>
      </c>
      <c r="S28" s="98">
        <f>SUM(S8:S27)*'Анализ чувствительности'!$B$8/100</f>
        <v>169775.16655698075</v>
      </c>
      <c r="T28" s="98">
        <f>SUM(T8:T27)*'Анализ чувствительности'!$B$8/100</f>
        <v>169775.16655698075</v>
      </c>
      <c r="U28" s="98">
        <f>SUM(U8:U27)*'Анализ чувствительности'!$B$8/100</f>
        <v>169775.16655698075</v>
      </c>
      <c r="V28" s="98">
        <f>SUM(V8:V27)*'Анализ чувствительности'!$B$8/100</f>
        <v>169775.16655698075</v>
      </c>
      <c r="W28" s="98">
        <f>SUM(W8:W27)*'Анализ чувствительности'!$B$8/100</f>
        <v>169775.16655698075</v>
      </c>
      <c r="X28" s="98">
        <f>SUM(X8:X27)*'Анализ чувствительности'!$B$8/100</f>
        <v>169775.16655698075</v>
      </c>
      <c r="Y28" s="98">
        <f>SUM(Y8:Y27)*'Анализ чувствительности'!$B$8/100</f>
        <v>169775.16655698075</v>
      </c>
      <c r="Z28" s="98">
        <f>SUM(Z8:Z27)*'Анализ чувствительности'!$B$8/100</f>
        <v>169775.16655698075</v>
      </c>
      <c r="AA28" s="98">
        <f>SUM(AA8:AA27)*'Анализ чувствительности'!$B$8/100</f>
        <v>169775.16655698075</v>
      </c>
      <c r="AB28" s="98">
        <f>SUM(AB8:AB27)*'Анализ чувствительности'!$B$8/100</f>
        <v>169775.16655698075</v>
      </c>
      <c r="AC28" s="98">
        <f>SUM(AC8:AC27)*'Анализ чувствительности'!$B$8/100</f>
        <v>169775.16655698075</v>
      </c>
      <c r="AD28" s="98">
        <f>SUM(AD8:AD27)*'Анализ чувствительности'!$B$8/100</f>
        <v>169775.16655698075</v>
      </c>
      <c r="AE28" s="98">
        <f>SUM(AE8:AE27)*'Анализ чувствительности'!$B$8/100</f>
        <v>178056.73679253049</v>
      </c>
      <c r="AF28" s="98">
        <f>SUM(AF8:AF27)*'Анализ чувствительности'!$B$8/100</f>
        <v>178056.73679253049</v>
      </c>
      <c r="AG28" s="98">
        <f>SUM(AG8:AG27)*'Анализ чувствительности'!$B$8/100</f>
        <v>178056.73679253049</v>
      </c>
      <c r="AH28" s="98">
        <f>SUM(AH8:AH27)*'Анализ чувствительности'!$B$8/100</f>
        <v>178056.73679253049</v>
      </c>
      <c r="AI28" s="98">
        <f>SUM(AI8:AI27)*'Анализ чувствительности'!$B$8/100</f>
        <v>178056.73679253049</v>
      </c>
      <c r="AJ28" s="98">
        <f>SUM(AJ8:AJ27)*'Анализ чувствительности'!$B$8/100</f>
        <v>178056.73679253049</v>
      </c>
      <c r="AK28" s="98">
        <f>SUM(AK8:AK27)*'Анализ чувствительности'!$B$8/100</f>
        <v>178056.73679253049</v>
      </c>
      <c r="AL28" s="98">
        <f>SUM(AL8:AL27)*'Анализ чувствительности'!$B$8/100</f>
        <v>178056.73679253049</v>
      </c>
      <c r="AM28" s="98">
        <f>SUM(AM8:AM27)*'Анализ чувствительности'!$B$8/100</f>
        <v>178056.73679253049</v>
      </c>
      <c r="AN28" s="98">
        <f>SUM(AN8:AN27)*'Анализ чувствительности'!$B$8/100</f>
        <v>178056.73679253049</v>
      </c>
      <c r="AO28" s="98">
        <f>SUM(AO8:AO27)*'Анализ чувствительности'!$B$8/100</f>
        <v>178056.73679253049</v>
      </c>
      <c r="AP28" s="98">
        <f>SUM(AP8:AP27)*'Анализ чувствительности'!$B$8/100</f>
        <v>178056.73679253049</v>
      </c>
      <c r="AQ28" s="98">
        <f>SUM(AQ8:AQ27)*'Анализ чувствительности'!$B$8/100</f>
        <v>186747.36115707166</v>
      </c>
      <c r="AR28" s="98">
        <f>SUM(AR8:AR27)*'Анализ чувствительности'!$B$8/100</f>
        <v>186747.36115707166</v>
      </c>
      <c r="AS28" s="98">
        <f>SUM(AS8:AS27)*'Анализ чувствительности'!$B$8/100</f>
        <v>186747.36115707166</v>
      </c>
      <c r="AT28" s="98">
        <f>SUM(AT8:AT27)*'Анализ чувствительности'!$B$8/100</f>
        <v>186747.36115707166</v>
      </c>
      <c r="AU28" s="98">
        <f>SUM(AU8:AU27)*'Анализ чувствительности'!$B$8/100</f>
        <v>186747.36115707166</v>
      </c>
      <c r="AV28" s="98">
        <f>SUM(AV8:AV27)*'Анализ чувствительности'!$B$8/100</f>
        <v>186747.36115707166</v>
      </c>
      <c r="AW28" s="98">
        <f>SUM(AW8:AW27)*'Анализ чувствительности'!$B$8/100</f>
        <v>186747.36115707166</v>
      </c>
      <c r="AX28" s="98">
        <f>SUM(AX8:AX27)*'Анализ чувствительности'!$B$8/100</f>
        <v>186747.36115707166</v>
      </c>
      <c r="AY28" s="98">
        <f>SUM(AY8:AY27)*'Анализ чувствительности'!$B$8/100</f>
        <v>186747.36115707166</v>
      </c>
      <c r="AZ28" s="98">
        <f>SUM(AZ8:AZ27)*'Анализ чувствительности'!$B$8/100</f>
        <v>186747.36115707166</v>
      </c>
      <c r="BA28" s="98">
        <f>SUM(BA8:BA27)*'Анализ чувствительности'!$B$8/100</f>
        <v>186747.36115707166</v>
      </c>
      <c r="BB28" s="98">
        <f>SUM(BB8:BB27)*'Анализ чувствительности'!$B$8/100</f>
        <v>186747.36115707166</v>
      </c>
      <c r="BC28" s="98">
        <f>SUM(BC8:BC27)*'Анализ чувствительности'!$B$8/100</f>
        <v>195867.34162557044</v>
      </c>
      <c r="BD28" s="98">
        <f>SUM(BD8:BD27)*'Анализ чувствительности'!$B$8/100</f>
        <v>195867.34162557044</v>
      </c>
      <c r="BE28" s="98">
        <f>SUM(BE8:BE27)*'Анализ чувствительности'!$B$8/100</f>
        <v>195867.34162557044</v>
      </c>
      <c r="BF28" s="98">
        <f>SUM(BF8:BF27)*'Анализ чувствительности'!$B$8/100</f>
        <v>195867.34162557044</v>
      </c>
      <c r="BG28" s="98">
        <f>SUM(BG8:BG27)*'Анализ чувствительности'!$B$8/100</f>
        <v>195867.34162557044</v>
      </c>
      <c r="BH28" s="98">
        <f>SUM(BH8:BH27)*'Анализ чувствительности'!$B$8/100</f>
        <v>195867.34162557044</v>
      </c>
      <c r="BI28" s="98">
        <f>SUM(BI8:BI27)*'Анализ чувствительности'!$B$8/100</f>
        <v>195867.34162557044</v>
      </c>
      <c r="BJ28" s="98">
        <f>SUM(BJ8:BJ27)*'Анализ чувствительности'!$B$8/100</f>
        <v>11279.802809164059</v>
      </c>
      <c r="BL28" s="24">
        <f t="shared" ref="BL28:BQ28" si="18">SUMIF($C$2:$BJ$2,BL$2,$C28:$BJ28)</f>
        <v>96511.081088657389</v>
      </c>
      <c r="BM28" s="24">
        <f t="shared" si="18"/>
        <v>1851483.3576598894</v>
      </c>
      <c r="BN28" s="24">
        <f t="shared" si="18"/>
        <v>2037301.9986837686</v>
      </c>
      <c r="BO28" s="24">
        <f t="shared" si="18"/>
        <v>2136680.8415103653</v>
      </c>
      <c r="BP28" s="24">
        <f t="shared" si="18"/>
        <v>2240968.3338848604</v>
      </c>
      <c r="BQ28" s="24">
        <f t="shared" si="18"/>
        <v>1382351.1941881573</v>
      </c>
    </row>
    <row r="29" spans="1:69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L29" s="32"/>
      <c r="BM29" s="32"/>
      <c r="BN29" s="32"/>
      <c r="BO29" s="32"/>
      <c r="BP29" s="32"/>
      <c r="BQ29" s="32"/>
    </row>
    <row r="30" spans="1:69">
      <c r="A30" s="18" t="s">
        <v>253</v>
      </c>
      <c r="B30" s="18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L30" s="32"/>
      <c r="BM30" s="32"/>
      <c r="BN30" s="32"/>
      <c r="BO30" s="32"/>
      <c r="BP30" s="32"/>
      <c r="BQ30" s="32"/>
    </row>
    <row r="31" spans="1:69">
      <c r="A31" s="30" t="s">
        <v>91</v>
      </c>
      <c r="B31" s="53" t="s">
        <v>91</v>
      </c>
      <c r="C31" s="99">
        <f>Персонал!C$71</f>
        <v>0</v>
      </c>
      <c r="D31" s="99">
        <f>Персонал!D$71</f>
        <v>0</v>
      </c>
      <c r="E31" s="99">
        <f>Персонал!E$71</f>
        <v>0</v>
      </c>
      <c r="F31" s="99">
        <f>Персонал!F$71</f>
        <v>572</v>
      </c>
      <c r="G31" s="99">
        <f>Персонал!G$71</f>
        <v>589.16</v>
      </c>
      <c r="H31" s="99">
        <f>Персонал!H$71</f>
        <v>589.16</v>
      </c>
      <c r="I31" s="99">
        <f>Персонал!I$71</f>
        <v>589.16</v>
      </c>
      <c r="J31" s="99">
        <f>Персонал!J$71</f>
        <v>589.16</v>
      </c>
      <c r="K31" s="99">
        <f>Персонал!K$71</f>
        <v>589.16</v>
      </c>
      <c r="L31" s="99">
        <f>Персонал!L$71</f>
        <v>589.16</v>
      </c>
      <c r="M31" s="99">
        <f>Персонал!M$71</f>
        <v>589.16</v>
      </c>
      <c r="N31" s="99">
        <f>Персонал!N$71</f>
        <v>589.16</v>
      </c>
      <c r="O31" s="99">
        <f>Персонал!O$71</f>
        <v>589.16</v>
      </c>
      <c r="P31" s="99">
        <f>Персонал!P$71</f>
        <v>589.16</v>
      </c>
      <c r="Q31" s="99">
        <f>Персонал!Q$71</f>
        <v>589.16</v>
      </c>
      <c r="R31" s="99">
        <f>Персонал!R$71</f>
        <v>589.16</v>
      </c>
      <c r="S31" s="99">
        <f>Персонал!S$71</f>
        <v>606.83480000000009</v>
      </c>
      <c r="T31" s="99">
        <f>Персонал!T$71</f>
        <v>606.83480000000009</v>
      </c>
      <c r="U31" s="99">
        <f>Персонал!U$71</f>
        <v>606.83480000000009</v>
      </c>
      <c r="V31" s="99">
        <f>Персонал!V$71</f>
        <v>606.83480000000009</v>
      </c>
      <c r="W31" s="99">
        <f>Персонал!W$71</f>
        <v>606.83480000000009</v>
      </c>
      <c r="X31" s="99">
        <f>Персонал!X$71</f>
        <v>606.83480000000009</v>
      </c>
      <c r="Y31" s="99">
        <f>Персонал!Y$71</f>
        <v>606.83480000000009</v>
      </c>
      <c r="Z31" s="99">
        <f>Персонал!Z$71</f>
        <v>606.83480000000009</v>
      </c>
      <c r="AA31" s="99">
        <f>Персонал!AA$71</f>
        <v>606.83480000000009</v>
      </c>
      <c r="AB31" s="99">
        <f>Персонал!AB$71</f>
        <v>606.83480000000009</v>
      </c>
      <c r="AC31" s="99">
        <f>Персонал!AC$71</f>
        <v>606.83480000000009</v>
      </c>
      <c r="AD31" s="99">
        <f>Персонал!AD$71</f>
        <v>606.83480000000009</v>
      </c>
      <c r="AE31" s="99">
        <f>Персонал!AE$71</f>
        <v>625.0398439999999</v>
      </c>
      <c r="AF31" s="99">
        <f>Персонал!AF$71</f>
        <v>625.0398439999999</v>
      </c>
      <c r="AG31" s="99">
        <f>Персонал!AG$71</f>
        <v>625.0398439999999</v>
      </c>
      <c r="AH31" s="99">
        <f>Персонал!AH$71</f>
        <v>625.0398439999999</v>
      </c>
      <c r="AI31" s="99">
        <f>Персонал!AI$71</f>
        <v>625.0398439999999</v>
      </c>
      <c r="AJ31" s="99">
        <f>Персонал!AJ$71</f>
        <v>625.0398439999999</v>
      </c>
      <c r="AK31" s="99">
        <f>Персонал!AK$71</f>
        <v>625.0398439999999</v>
      </c>
      <c r="AL31" s="99">
        <f>Персонал!AL$71</f>
        <v>625.0398439999999</v>
      </c>
      <c r="AM31" s="99">
        <f>Персонал!AM$71</f>
        <v>625.0398439999999</v>
      </c>
      <c r="AN31" s="99">
        <f>Персонал!AN$71</f>
        <v>625.0398439999999</v>
      </c>
      <c r="AO31" s="99">
        <f>Персонал!AO$71</f>
        <v>625.0398439999999</v>
      </c>
      <c r="AP31" s="99">
        <f>Персонал!AP$71</f>
        <v>625.0398439999999</v>
      </c>
      <c r="AQ31" s="99">
        <f>Персонал!AQ$71</f>
        <v>643.79103932000021</v>
      </c>
      <c r="AR31" s="99">
        <f>Персонал!AR$71</f>
        <v>643.79103932000021</v>
      </c>
      <c r="AS31" s="99">
        <f>Персонал!AS$71</f>
        <v>643.79103932000021</v>
      </c>
      <c r="AT31" s="99">
        <f>Персонал!AT$71</f>
        <v>643.79103932000021</v>
      </c>
      <c r="AU31" s="99">
        <f>Персонал!AU$71</f>
        <v>643.79103932000021</v>
      </c>
      <c r="AV31" s="99">
        <f>Персонал!AV$71</f>
        <v>643.79103932000021</v>
      </c>
      <c r="AW31" s="99">
        <f>Персонал!AW$71</f>
        <v>643.79103932000021</v>
      </c>
      <c r="AX31" s="99">
        <f>Персонал!AX$71</f>
        <v>643.79103932000021</v>
      </c>
      <c r="AY31" s="99">
        <f>Персонал!AY$71</f>
        <v>643.79103932000021</v>
      </c>
      <c r="AZ31" s="99">
        <f>Персонал!AZ$71</f>
        <v>643.79103932000021</v>
      </c>
      <c r="BA31" s="99">
        <f>Персонал!BA$71</f>
        <v>643.79103932000021</v>
      </c>
      <c r="BB31" s="99">
        <f>Персонал!BB$71</f>
        <v>643.79103932000021</v>
      </c>
      <c r="BC31" s="99">
        <f>Персонал!BC$71</f>
        <v>663.10477049960002</v>
      </c>
      <c r="BD31" s="99">
        <f>Персонал!BD$71</f>
        <v>663.10477049960002</v>
      </c>
      <c r="BE31" s="99">
        <f>Персонал!BE$71</f>
        <v>663.10477049960002</v>
      </c>
      <c r="BF31" s="99">
        <f>Персонал!BF$71</f>
        <v>663.10477049960002</v>
      </c>
      <c r="BG31" s="99">
        <f>Персонал!BG$71</f>
        <v>663.10477049960002</v>
      </c>
      <c r="BH31" s="99">
        <f>Персонал!BH$71</f>
        <v>663.10477049960002</v>
      </c>
      <c r="BI31" s="99">
        <f>Персонал!BI$71</f>
        <v>663.10477049960002</v>
      </c>
      <c r="BJ31" s="99">
        <f>Персонал!BJ$71</f>
        <v>663.10477049960002</v>
      </c>
      <c r="BL31" s="25">
        <f t="shared" ref="BL31:BQ36" si="19">SUMIF($C$2:$BJ$2,BL$2,$C31:$BJ31)</f>
        <v>572</v>
      </c>
      <c r="BM31" s="25">
        <f t="shared" si="19"/>
        <v>7069.9199999999992</v>
      </c>
      <c r="BN31" s="25">
        <f t="shared" si="19"/>
        <v>7282.0176000000029</v>
      </c>
      <c r="BO31" s="25">
        <f t="shared" si="19"/>
        <v>7500.4781279999988</v>
      </c>
      <c r="BP31" s="25">
        <f t="shared" si="19"/>
        <v>7725.4924718400007</v>
      </c>
      <c r="BQ31" s="25">
        <f t="shared" si="19"/>
        <v>5304.8381639968002</v>
      </c>
    </row>
    <row r="32" spans="1:69" ht="26.25">
      <c r="A32" s="30" t="s">
        <v>92</v>
      </c>
      <c r="B32" s="53" t="s">
        <v>223</v>
      </c>
      <c r="C32" s="99">
        <f>Персонал!C$97</f>
        <v>0</v>
      </c>
      <c r="D32" s="99">
        <f>Персонал!D$97</f>
        <v>0</v>
      </c>
      <c r="E32" s="99">
        <f>Персонал!E$97</f>
        <v>0</v>
      </c>
      <c r="F32" s="99">
        <f>Персонал!F$97</f>
        <v>245.95999999999998</v>
      </c>
      <c r="G32" s="99">
        <f>Персонал!G$97</f>
        <v>253.33879999999999</v>
      </c>
      <c r="H32" s="99">
        <f>Персонал!H$97</f>
        <v>253.33879999999999</v>
      </c>
      <c r="I32" s="99">
        <f>Персонал!I$97</f>
        <v>253.33879999999999</v>
      </c>
      <c r="J32" s="99">
        <f>Персонал!J$97</f>
        <v>253.33879999999999</v>
      </c>
      <c r="K32" s="99">
        <f>Персонал!K$97</f>
        <v>253.33879999999999</v>
      </c>
      <c r="L32" s="99">
        <f>Персонал!L$97</f>
        <v>253.33879999999999</v>
      </c>
      <c r="M32" s="99">
        <f>Персонал!M$97</f>
        <v>253.33879999999999</v>
      </c>
      <c r="N32" s="99">
        <f>Персонал!N$97</f>
        <v>253.33879999999999</v>
      </c>
      <c r="O32" s="99">
        <f>Персонал!O$97</f>
        <v>253.33879999999999</v>
      </c>
      <c r="P32" s="99">
        <f>Персонал!P$97</f>
        <v>253.33879999999999</v>
      </c>
      <c r="Q32" s="99">
        <f>Персонал!Q$97</f>
        <v>253.33879999999999</v>
      </c>
      <c r="R32" s="99">
        <f>Персонал!R$97</f>
        <v>253.33879999999999</v>
      </c>
      <c r="S32" s="99">
        <f>Персонал!S$97</f>
        <v>260.938964</v>
      </c>
      <c r="T32" s="99">
        <f>Персонал!T$97</f>
        <v>260.938964</v>
      </c>
      <c r="U32" s="99">
        <f>Персонал!U$97</f>
        <v>260.938964</v>
      </c>
      <c r="V32" s="99">
        <f>Персонал!V$97</f>
        <v>260.938964</v>
      </c>
      <c r="W32" s="99">
        <f>Персонал!W$97</f>
        <v>260.938964</v>
      </c>
      <c r="X32" s="99">
        <f>Персонал!X$97</f>
        <v>260.938964</v>
      </c>
      <c r="Y32" s="99">
        <f>Персонал!Y$97</f>
        <v>260.938964</v>
      </c>
      <c r="Z32" s="99">
        <f>Персонал!Z$97</f>
        <v>260.938964</v>
      </c>
      <c r="AA32" s="99">
        <f>Персонал!AA$97</f>
        <v>260.938964</v>
      </c>
      <c r="AB32" s="99">
        <f>Персонал!AB$97</f>
        <v>260.938964</v>
      </c>
      <c r="AC32" s="99">
        <f>Персонал!AC$97</f>
        <v>260.938964</v>
      </c>
      <c r="AD32" s="99">
        <f>Персонал!AD$97</f>
        <v>260.938964</v>
      </c>
      <c r="AE32" s="99">
        <f>Персонал!AE$97</f>
        <v>268.76713291999999</v>
      </c>
      <c r="AF32" s="99">
        <f>Персонал!AF$97</f>
        <v>268.76713291999999</v>
      </c>
      <c r="AG32" s="99">
        <f>Персонал!AG$97</f>
        <v>268.76713291999999</v>
      </c>
      <c r="AH32" s="99">
        <f>Персонал!AH$97</f>
        <v>268.76713291999999</v>
      </c>
      <c r="AI32" s="99">
        <f>Персонал!AI$97</f>
        <v>268.76713291999999</v>
      </c>
      <c r="AJ32" s="99">
        <f>Персонал!AJ$97</f>
        <v>268.76713291999999</v>
      </c>
      <c r="AK32" s="99">
        <f>Персонал!AK$97</f>
        <v>268.76713291999999</v>
      </c>
      <c r="AL32" s="99">
        <f>Персонал!AL$97</f>
        <v>268.76713291999999</v>
      </c>
      <c r="AM32" s="99">
        <f>Персонал!AM$97</f>
        <v>268.76713291999999</v>
      </c>
      <c r="AN32" s="99">
        <f>Персонал!AN$97</f>
        <v>268.76713291999999</v>
      </c>
      <c r="AO32" s="99">
        <f>Персонал!AO$97</f>
        <v>268.76713291999999</v>
      </c>
      <c r="AP32" s="99">
        <f>Персонал!AP$97</f>
        <v>268.76713291999999</v>
      </c>
      <c r="AQ32" s="99">
        <f>Персонал!AQ$97</f>
        <v>276.83014690760007</v>
      </c>
      <c r="AR32" s="99">
        <f>Персонал!AR$97</f>
        <v>276.83014690760007</v>
      </c>
      <c r="AS32" s="99">
        <f>Персонал!AS$97</f>
        <v>276.83014690760007</v>
      </c>
      <c r="AT32" s="99">
        <f>Персонал!AT$97</f>
        <v>276.83014690760007</v>
      </c>
      <c r="AU32" s="99">
        <f>Персонал!AU$97</f>
        <v>276.83014690760007</v>
      </c>
      <c r="AV32" s="99">
        <f>Персонал!AV$97</f>
        <v>276.83014690760007</v>
      </c>
      <c r="AW32" s="99">
        <f>Персонал!AW$97</f>
        <v>276.83014690760007</v>
      </c>
      <c r="AX32" s="99">
        <f>Персонал!AX$97</f>
        <v>276.83014690760007</v>
      </c>
      <c r="AY32" s="99">
        <f>Персонал!AY$97</f>
        <v>276.83014690760007</v>
      </c>
      <c r="AZ32" s="99">
        <f>Персонал!AZ$97</f>
        <v>276.83014690760007</v>
      </c>
      <c r="BA32" s="99">
        <f>Персонал!BA$97</f>
        <v>276.83014690760007</v>
      </c>
      <c r="BB32" s="99">
        <f>Персонал!BB$97</f>
        <v>276.83014690760007</v>
      </c>
      <c r="BC32" s="99">
        <f>Персонал!BC$97</f>
        <v>285.13505131482799</v>
      </c>
      <c r="BD32" s="99">
        <f>Персонал!BD$97</f>
        <v>285.13505131482799</v>
      </c>
      <c r="BE32" s="99">
        <f>Персонал!BE$97</f>
        <v>285.13505131482799</v>
      </c>
      <c r="BF32" s="99">
        <f>Персонал!BF$97</f>
        <v>285.13505131482799</v>
      </c>
      <c r="BG32" s="99">
        <f>Персонал!BG$97</f>
        <v>285.13505131482799</v>
      </c>
      <c r="BH32" s="99">
        <f>Персонал!BH$97</f>
        <v>285.13505131482799</v>
      </c>
      <c r="BI32" s="99">
        <f>Персонал!BI$97</f>
        <v>285.13505131482799</v>
      </c>
      <c r="BJ32" s="99">
        <f>Персонал!BJ$97</f>
        <v>285.13505131482799</v>
      </c>
      <c r="BL32" s="25">
        <f t="shared" si="19"/>
        <v>245.95999999999998</v>
      </c>
      <c r="BM32" s="25">
        <f t="shared" si="19"/>
        <v>3040.0655999999999</v>
      </c>
      <c r="BN32" s="25">
        <f t="shared" si="19"/>
        <v>3131.2675679999998</v>
      </c>
      <c r="BO32" s="25">
        <f t="shared" si="19"/>
        <v>3225.2055950400008</v>
      </c>
      <c r="BP32" s="25">
        <f t="shared" si="19"/>
        <v>3321.9617628912006</v>
      </c>
      <c r="BQ32" s="25">
        <f t="shared" si="19"/>
        <v>2281.0804105186239</v>
      </c>
    </row>
    <row r="33" spans="1:69">
      <c r="A33" s="30" t="str">
        <f>Цены!A44</f>
        <v>Онлайн-реклама</v>
      </c>
      <c r="B33" s="53" t="s">
        <v>225</v>
      </c>
      <c r="C33" s="99">
        <f>IF(C$3&lt;Допущения!$E$4,0,Цены!L44/1000)</f>
        <v>0</v>
      </c>
      <c r="D33" s="99">
        <f>IF(D$3&lt;Допущения!$E$4,0,Цены!M44/1000)</f>
        <v>0</v>
      </c>
      <c r="E33" s="99">
        <f>IF(E$3&lt;Допущения!$E$4,0,Цены!N44/1000)</f>
        <v>0</v>
      </c>
      <c r="F33" s="99">
        <f>IF(F$3&lt;Допущения!$E$4,0,Цены!O44/1000)</f>
        <v>125</v>
      </c>
      <c r="G33" s="99">
        <f>IF(G$3&lt;Допущения!$E$4,0,Цены!P44/1000)</f>
        <v>131.25</v>
      </c>
      <c r="H33" s="99">
        <f>IF(H$3&lt;Допущения!$E$4,0,Цены!Q44/1000)</f>
        <v>131.25</v>
      </c>
      <c r="I33" s="99">
        <f>IF(I$3&lt;Допущения!$E$4,0,Цены!R44/1000)</f>
        <v>131.25</v>
      </c>
      <c r="J33" s="99">
        <f>IF(J$3&lt;Допущения!$E$4,0,Цены!S44/1000)</f>
        <v>131.25</v>
      </c>
      <c r="K33" s="99">
        <f>IF(K$3&lt;Допущения!$E$4,0,Цены!T44/1000)</f>
        <v>131.25</v>
      </c>
      <c r="L33" s="99">
        <f>IF(L$3&lt;Допущения!$E$4,0,Цены!U44/1000)</f>
        <v>131.25</v>
      </c>
      <c r="M33" s="99">
        <f>IF(M$3&lt;Допущения!$E$4,0,Цены!V44/1000)</f>
        <v>131.25</v>
      </c>
      <c r="N33" s="99">
        <f>IF(N$3&lt;Допущения!$E$4,0,Цены!W44/1000)</f>
        <v>131.25</v>
      </c>
      <c r="O33" s="99">
        <f>IF(O$3&lt;Допущения!$E$4,0,Цены!X44/1000)</f>
        <v>131.25</v>
      </c>
      <c r="P33" s="99">
        <f>IF(P$3&lt;Допущения!$E$4,0,Цены!Y44/1000)</f>
        <v>131.25</v>
      </c>
      <c r="Q33" s="99">
        <f>IF(Q$3&lt;Допущения!$E$4,0,Цены!Z44/1000)</f>
        <v>131.25</v>
      </c>
      <c r="R33" s="99">
        <f>IF(R$3&lt;Допущения!$E$4,0,Цены!AA44/1000)</f>
        <v>131.25</v>
      </c>
      <c r="S33" s="99">
        <f>IF(S$3&lt;Допущения!$E$4,0,Цены!AB44/1000)</f>
        <v>137.8125</v>
      </c>
      <c r="T33" s="99">
        <f>IF(T$3&lt;Допущения!$E$4,0,Цены!AC44/1000)</f>
        <v>137.8125</v>
      </c>
      <c r="U33" s="99">
        <f>IF(U$3&lt;Допущения!$E$4,0,Цены!AD44/1000)</f>
        <v>137.8125</v>
      </c>
      <c r="V33" s="99">
        <f>IF(V$3&lt;Допущения!$E$4,0,Цены!AE44/1000)</f>
        <v>137.8125</v>
      </c>
      <c r="W33" s="99">
        <f>IF(W$3&lt;Допущения!$E$4,0,Цены!AF44/1000)</f>
        <v>137.8125</v>
      </c>
      <c r="X33" s="99">
        <f>IF(X$3&lt;Допущения!$E$4,0,Цены!AG44/1000)</f>
        <v>137.8125</v>
      </c>
      <c r="Y33" s="99">
        <f>IF(Y$3&lt;Допущения!$E$4,0,Цены!AH44/1000)</f>
        <v>137.8125</v>
      </c>
      <c r="Z33" s="99">
        <f>IF(Z$3&lt;Допущения!$E$4,0,Цены!AI44/1000)</f>
        <v>137.8125</v>
      </c>
      <c r="AA33" s="99">
        <f>IF(AA$3&lt;Допущения!$E$4,0,Цены!AJ44/1000)</f>
        <v>137.8125</v>
      </c>
      <c r="AB33" s="99">
        <f>IF(AB$3&lt;Допущения!$E$4,0,Цены!AK44/1000)</f>
        <v>137.8125</v>
      </c>
      <c r="AC33" s="99">
        <f>IF(AC$3&lt;Допущения!$E$4,0,Цены!AL44/1000)</f>
        <v>137.8125</v>
      </c>
      <c r="AD33" s="99">
        <f>IF(AD$3&lt;Допущения!$E$4,0,Цены!AM44/1000)</f>
        <v>137.8125</v>
      </c>
      <c r="AE33" s="99">
        <f>IF(AE$3&lt;Допущения!$E$4,0,Цены!AN44/1000)</f>
        <v>144.70312500000003</v>
      </c>
      <c r="AF33" s="99">
        <f>IF(AF$3&lt;Допущения!$E$4,0,Цены!AO44/1000)</f>
        <v>144.70312500000003</v>
      </c>
      <c r="AG33" s="99">
        <f>IF(AG$3&lt;Допущения!$E$4,0,Цены!AP44/1000)</f>
        <v>144.70312500000003</v>
      </c>
      <c r="AH33" s="99">
        <f>IF(AH$3&lt;Допущения!$E$4,0,Цены!AQ44/1000)</f>
        <v>144.70312500000003</v>
      </c>
      <c r="AI33" s="99">
        <f>IF(AI$3&lt;Допущения!$E$4,0,Цены!AR44/1000)</f>
        <v>144.70312500000003</v>
      </c>
      <c r="AJ33" s="99">
        <f>IF(AJ$3&lt;Допущения!$E$4,0,Цены!AS44/1000)</f>
        <v>144.70312500000003</v>
      </c>
      <c r="AK33" s="99">
        <f>IF(AK$3&lt;Допущения!$E$4,0,Цены!AT44/1000)</f>
        <v>144.70312500000003</v>
      </c>
      <c r="AL33" s="99">
        <f>IF(AL$3&lt;Допущения!$E$4,0,Цены!AU44/1000)</f>
        <v>144.70312500000003</v>
      </c>
      <c r="AM33" s="99">
        <f>IF(AM$3&lt;Допущения!$E$4,0,Цены!AV44/1000)</f>
        <v>144.70312500000003</v>
      </c>
      <c r="AN33" s="99">
        <f>IF(AN$3&lt;Допущения!$E$4,0,Цены!AW44/1000)</f>
        <v>144.70312500000003</v>
      </c>
      <c r="AO33" s="99">
        <f>IF(AO$3&lt;Допущения!$E$4,0,Цены!AX44/1000)</f>
        <v>144.70312500000003</v>
      </c>
      <c r="AP33" s="99">
        <f>IF(AP$3&lt;Допущения!$E$4,0,Цены!AY44/1000)</f>
        <v>144.70312500000003</v>
      </c>
      <c r="AQ33" s="99">
        <f>IF(AQ$3&lt;Допущения!$E$4,0,Цены!AZ44/1000)</f>
        <v>151.93828125000002</v>
      </c>
      <c r="AR33" s="99">
        <f>IF(AR$3&lt;Допущения!$E$4,0,Цены!BA44/1000)</f>
        <v>151.93828125000002</v>
      </c>
      <c r="AS33" s="99">
        <f>IF(AS$3&lt;Допущения!$E$4,0,Цены!BB44/1000)</f>
        <v>151.93828125000002</v>
      </c>
      <c r="AT33" s="99">
        <f>IF(AT$3&lt;Допущения!$E$4,0,Цены!BC44/1000)</f>
        <v>151.93828125000002</v>
      </c>
      <c r="AU33" s="99">
        <f>IF(AU$3&lt;Допущения!$E$4,0,Цены!BD44/1000)</f>
        <v>151.93828125000002</v>
      </c>
      <c r="AV33" s="99">
        <f>IF(AV$3&lt;Допущения!$E$4,0,Цены!BE44/1000)</f>
        <v>151.93828125000002</v>
      </c>
      <c r="AW33" s="99">
        <f>IF(AW$3&lt;Допущения!$E$4,0,Цены!BF44/1000)</f>
        <v>151.93828125000002</v>
      </c>
      <c r="AX33" s="99">
        <f>IF(AX$3&lt;Допущения!$E$4,0,Цены!BG44/1000)</f>
        <v>151.93828125000002</v>
      </c>
      <c r="AY33" s="99">
        <f>IF(AY$3&lt;Допущения!$E$4,0,Цены!BH44/1000)</f>
        <v>151.93828125000002</v>
      </c>
      <c r="AZ33" s="99">
        <f>IF(AZ$3&lt;Допущения!$E$4,0,Цены!BI44/1000)</f>
        <v>151.93828125000002</v>
      </c>
      <c r="BA33" s="99">
        <f>IF(BA$3&lt;Допущения!$E$4,0,Цены!BJ44/1000)</f>
        <v>151.93828125000002</v>
      </c>
      <c r="BB33" s="99">
        <f>IF(BB$3&lt;Допущения!$E$4,0,Цены!BK44/1000)</f>
        <v>151.93828125000002</v>
      </c>
      <c r="BC33" s="99">
        <f>IF(BC$3&lt;Допущения!$E$4,0,Цены!BL44/1000)</f>
        <v>159.53519531250006</v>
      </c>
      <c r="BD33" s="99">
        <f>IF(BD$3&lt;Допущения!$E$4,0,Цены!BM44/1000)</f>
        <v>159.53519531250006</v>
      </c>
      <c r="BE33" s="99">
        <f>IF(BE$3&lt;Допущения!$E$4,0,Цены!BN44/1000)</f>
        <v>159.53519531250006</v>
      </c>
      <c r="BF33" s="99">
        <f>IF(BF$3&lt;Допущения!$E$4,0,Цены!BO44/1000)</f>
        <v>159.53519531250006</v>
      </c>
      <c r="BG33" s="99">
        <f>IF(BG$3&lt;Допущения!$E$4,0,Цены!BP44/1000)</f>
        <v>159.53519531250006</v>
      </c>
      <c r="BH33" s="99">
        <f>IF(BH$3&lt;Допущения!$E$4,0,Цены!BQ44/1000)</f>
        <v>159.53519531250006</v>
      </c>
      <c r="BI33" s="99">
        <f>IF(BI$3&lt;Допущения!$E$4,0,Цены!BR44/1000)</f>
        <v>159.53519531250006</v>
      </c>
      <c r="BJ33" s="99">
        <f>IF(BJ$3&lt;Допущения!$E$4,0,Цены!BS44/1000)</f>
        <v>159.53519531250006</v>
      </c>
      <c r="BL33" s="25">
        <f t="shared" si="19"/>
        <v>125</v>
      </c>
      <c r="BM33" s="25">
        <f t="shared" si="19"/>
        <v>1575</v>
      </c>
      <c r="BN33" s="25">
        <f t="shared" si="19"/>
        <v>1653.75</v>
      </c>
      <c r="BO33" s="25">
        <f t="shared" si="19"/>
        <v>1736.4375000000002</v>
      </c>
      <c r="BP33" s="25">
        <f t="shared" si="19"/>
        <v>1823.2593750000003</v>
      </c>
      <c r="BQ33" s="25">
        <f t="shared" si="19"/>
        <v>1276.2815625000005</v>
      </c>
    </row>
    <row r="34" spans="1:69">
      <c r="A34" s="30" t="str">
        <f>Цены!A45</f>
        <v>Оффлайн-реклама</v>
      </c>
      <c r="B34" s="53" t="s">
        <v>225</v>
      </c>
      <c r="C34" s="99">
        <f>IF(C$3&lt;Допущения!$E$4,0,Цены!L45/1000)</f>
        <v>0</v>
      </c>
      <c r="D34" s="99">
        <f>IF(D$3&lt;Допущения!$E$4,0,Цены!M45/1000)</f>
        <v>0</v>
      </c>
      <c r="E34" s="99">
        <f>IF(E$3&lt;Допущения!$E$4,0,Цены!N45/1000)</f>
        <v>0</v>
      </c>
      <c r="F34" s="99">
        <f>IF(F$3&lt;Допущения!$E$4,0,Цены!O45/1000)</f>
        <v>41.666666666666671</v>
      </c>
      <c r="G34" s="99">
        <f>IF(G$3&lt;Допущения!$E$4,0,Цены!P45/1000)</f>
        <v>43.750000000000007</v>
      </c>
      <c r="H34" s="99">
        <f>IF(H$3&lt;Допущения!$E$4,0,Цены!Q45/1000)</f>
        <v>43.750000000000007</v>
      </c>
      <c r="I34" s="99">
        <f>IF(I$3&lt;Допущения!$E$4,0,Цены!R45/1000)</f>
        <v>43.750000000000007</v>
      </c>
      <c r="J34" s="99">
        <f>IF(J$3&lt;Допущения!$E$4,0,Цены!S45/1000)</f>
        <v>43.750000000000007</v>
      </c>
      <c r="K34" s="99">
        <f>IF(K$3&lt;Допущения!$E$4,0,Цены!T45/1000)</f>
        <v>43.750000000000007</v>
      </c>
      <c r="L34" s="99">
        <f>IF(L$3&lt;Допущения!$E$4,0,Цены!U45/1000)</f>
        <v>43.750000000000007</v>
      </c>
      <c r="M34" s="99">
        <f>IF(M$3&lt;Допущения!$E$4,0,Цены!V45/1000)</f>
        <v>43.750000000000007</v>
      </c>
      <c r="N34" s="99">
        <f>IF(N$3&lt;Допущения!$E$4,0,Цены!W45/1000)</f>
        <v>43.750000000000007</v>
      </c>
      <c r="O34" s="99">
        <f>IF(O$3&lt;Допущения!$E$4,0,Цены!X45/1000)</f>
        <v>43.750000000000007</v>
      </c>
      <c r="P34" s="99">
        <f>IF(P$3&lt;Допущения!$E$4,0,Цены!Y45/1000)</f>
        <v>43.750000000000007</v>
      </c>
      <c r="Q34" s="99">
        <f>IF(Q$3&lt;Допущения!$E$4,0,Цены!Z45/1000)</f>
        <v>43.750000000000007</v>
      </c>
      <c r="R34" s="99">
        <f>IF(R$3&lt;Допущения!$E$4,0,Цены!AA45/1000)</f>
        <v>43.750000000000007</v>
      </c>
      <c r="S34" s="99">
        <f>IF(S$3&lt;Допущения!$E$4,0,Цены!AB45/1000)</f>
        <v>45.937500000000007</v>
      </c>
      <c r="T34" s="99">
        <f>IF(T$3&lt;Допущения!$E$4,0,Цены!AC45/1000)</f>
        <v>45.937500000000007</v>
      </c>
      <c r="U34" s="99">
        <f>IF(U$3&lt;Допущения!$E$4,0,Цены!AD45/1000)</f>
        <v>45.937500000000007</v>
      </c>
      <c r="V34" s="99">
        <f>IF(V$3&lt;Допущения!$E$4,0,Цены!AE45/1000)</f>
        <v>45.937500000000007</v>
      </c>
      <c r="W34" s="99">
        <f>IF(W$3&lt;Допущения!$E$4,0,Цены!AF45/1000)</f>
        <v>45.937500000000007</v>
      </c>
      <c r="X34" s="99">
        <f>IF(X$3&lt;Допущения!$E$4,0,Цены!AG45/1000)</f>
        <v>45.937500000000007</v>
      </c>
      <c r="Y34" s="99">
        <f>IF(Y$3&lt;Допущения!$E$4,0,Цены!AH45/1000)</f>
        <v>45.937500000000007</v>
      </c>
      <c r="Z34" s="99">
        <f>IF(Z$3&lt;Допущения!$E$4,0,Цены!AI45/1000)</f>
        <v>45.937500000000007</v>
      </c>
      <c r="AA34" s="99">
        <f>IF(AA$3&lt;Допущения!$E$4,0,Цены!AJ45/1000)</f>
        <v>45.937500000000007</v>
      </c>
      <c r="AB34" s="99">
        <f>IF(AB$3&lt;Допущения!$E$4,0,Цены!AK45/1000)</f>
        <v>45.937500000000007</v>
      </c>
      <c r="AC34" s="99">
        <f>IF(AC$3&lt;Допущения!$E$4,0,Цены!AL45/1000)</f>
        <v>45.937500000000007</v>
      </c>
      <c r="AD34" s="99">
        <f>IF(AD$3&lt;Допущения!$E$4,0,Цены!AM45/1000)</f>
        <v>45.937500000000007</v>
      </c>
      <c r="AE34" s="99">
        <f>IF(AE$3&lt;Допущения!$E$4,0,Цены!AN45/1000)</f>
        <v>48.234375000000007</v>
      </c>
      <c r="AF34" s="99">
        <f>IF(AF$3&lt;Допущения!$E$4,0,Цены!AO45/1000)</f>
        <v>48.234375000000007</v>
      </c>
      <c r="AG34" s="99">
        <f>IF(AG$3&lt;Допущения!$E$4,0,Цены!AP45/1000)</f>
        <v>48.234375000000007</v>
      </c>
      <c r="AH34" s="99">
        <f>IF(AH$3&lt;Допущения!$E$4,0,Цены!AQ45/1000)</f>
        <v>48.234375000000007</v>
      </c>
      <c r="AI34" s="99">
        <f>IF(AI$3&lt;Допущения!$E$4,0,Цены!AR45/1000)</f>
        <v>48.234375000000007</v>
      </c>
      <c r="AJ34" s="99">
        <f>IF(AJ$3&lt;Допущения!$E$4,0,Цены!AS45/1000)</f>
        <v>48.234375000000007</v>
      </c>
      <c r="AK34" s="99">
        <f>IF(AK$3&lt;Допущения!$E$4,0,Цены!AT45/1000)</f>
        <v>48.234375000000007</v>
      </c>
      <c r="AL34" s="99">
        <f>IF(AL$3&lt;Допущения!$E$4,0,Цены!AU45/1000)</f>
        <v>48.234375000000007</v>
      </c>
      <c r="AM34" s="99">
        <f>IF(AM$3&lt;Допущения!$E$4,0,Цены!AV45/1000)</f>
        <v>48.234375000000007</v>
      </c>
      <c r="AN34" s="99">
        <f>IF(AN$3&lt;Допущения!$E$4,0,Цены!AW45/1000)</f>
        <v>48.234375000000007</v>
      </c>
      <c r="AO34" s="99">
        <f>IF(AO$3&lt;Допущения!$E$4,0,Цены!AX45/1000)</f>
        <v>48.234375000000007</v>
      </c>
      <c r="AP34" s="99">
        <f>IF(AP$3&lt;Допущения!$E$4,0,Цены!AY45/1000)</f>
        <v>48.234375000000007</v>
      </c>
      <c r="AQ34" s="99">
        <f>IF(AQ$3&lt;Допущения!$E$4,0,Цены!AZ45/1000)</f>
        <v>50.646093750000013</v>
      </c>
      <c r="AR34" s="99">
        <f>IF(AR$3&lt;Допущения!$E$4,0,Цены!BA45/1000)</f>
        <v>50.646093750000013</v>
      </c>
      <c r="AS34" s="99">
        <f>IF(AS$3&lt;Допущения!$E$4,0,Цены!BB45/1000)</f>
        <v>50.646093750000013</v>
      </c>
      <c r="AT34" s="99">
        <f>IF(AT$3&lt;Допущения!$E$4,0,Цены!BC45/1000)</f>
        <v>50.646093750000013</v>
      </c>
      <c r="AU34" s="99">
        <f>IF(AU$3&lt;Допущения!$E$4,0,Цены!BD45/1000)</f>
        <v>50.646093750000013</v>
      </c>
      <c r="AV34" s="99">
        <f>IF(AV$3&lt;Допущения!$E$4,0,Цены!BE45/1000)</f>
        <v>50.646093750000013</v>
      </c>
      <c r="AW34" s="99">
        <f>IF(AW$3&lt;Допущения!$E$4,0,Цены!BF45/1000)</f>
        <v>50.646093750000013</v>
      </c>
      <c r="AX34" s="99">
        <f>IF(AX$3&lt;Допущения!$E$4,0,Цены!BG45/1000)</f>
        <v>50.646093750000013</v>
      </c>
      <c r="AY34" s="99">
        <f>IF(AY$3&lt;Допущения!$E$4,0,Цены!BH45/1000)</f>
        <v>50.646093750000013</v>
      </c>
      <c r="AZ34" s="99">
        <f>IF(AZ$3&lt;Допущения!$E$4,0,Цены!BI45/1000)</f>
        <v>50.646093750000013</v>
      </c>
      <c r="BA34" s="99">
        <f>IF(BA$3&lt;Допущения!$E$4,0,Цены!BJ45/1000)</f>
        <v>50.646093750000013</v>
      </c>
      <c r="BB34" s="99">
        <f>IF(BB$3&lt;Допущения!$E$4,0,Цены!BK45/1000)</f>
        <v>50.646093750000013</v>
      </c>
      <c r="BC34" s="99">
        <f>IF(BC$3&lt;Допущения!$E$4,0,Цены!BL45/1000)</f>
        <v>53.178398437500022</v>
      </c>
      <c r="BD34" s="99">
        <f>IF(BD$3&lt;Допущения!$E$4,0,Цены!BM45/1000)</f>
        <v>53.178398437500022</v>
      </c>
      <c r="BE34" s="99">
        <f>IF(BE$3&lt;Допущения!$E$4,0,Цены!BN45/1000)</f>
        <v>53.178398437500022</v>
      </c>
      <c r="BF34" s="99">
        <f>IF(BF$3&lt;Допущения!$E$4,0,Цены!BO45/1000)</f>
        <v>53.178398437500022</v>
      </c>
      <c r="BG34" s="99">
        <f>IF(BG$3&lt;Допущения!$E$4,0,Цены!BP45/1000)</f>
        <v>53.178398437500022</v>
      </c>
      <c r="BH34" s="99">
        <f>IF(BH$3&lt;Допущения!$E$4,0,Цены!BQ45/1000)</f>
        <v>53.178398437500022</v>
      </c>
      <c r="BI34" s="99">
        <f>IF(BI$3&lt;Допущения!$E$4,0,Цены!BR45/1000)</f>
        <v>53.178398437500022</v>
      </c>
      <c r="BJ34" s="99">
        <f>IF(BJ$3&lt;Допущения!$E$4,0,Цены!BS45/1000)</f>
        <v>53.178398437500022</v>
      </c>
      <c r="BL34" s="25">
        <f t="shared" si="19"/>
        <v>41.666666666666671</v>
      </c>
      <c r="BM34" s="25">
        <f t="shared" si="19"/>
        <v>525.00000000000011</v>
      </c>
      <c r="BN34" s="25">
        <f t="shared" si="19"/>
        <v>551.25000000000011</v>
      </c>
      <c r="BO34" s="25">
        <f t="shared" si="19"/>
        <v>578.81250000000011</v>
      </c>
      <c r="BP34" s="25">
        <f t="shared" si="19"/>
        <v>607.75312500000018</v>
      </c>
      <c r="BQ34" s="25">
        <f t="shared" si="19"/>
        <v>425.42718750000029</v>
      </c>
    </row>
    <row r="35" spans="1:69">
      <c r="A35" s="30" t="s">
        <v>39</v>
      </c>
      <c r="B35" s="53" t="s">
        <v>221</v>
      </c>
      <c r="C35" s="97">
        <f>SUM(C31:C34)*Допущения!$C$67</f>
        <v>0</v>
      </c>
      <c r="D35" s="97">
        <f>SUM(D31:D34)*Допущения!$C$67</f>
        <v>0</v>
      </c>
      <c r="E35" s="97">
        <f>SUM(E31:E34)*Допущения!$C$67</f>
        <v>0</v>
      </c>
      <c r="F35" s="97">
        <f>SUM(F31:F34)*Допущения!$C$67</f>
        <v>29.538799999999998</v>
      </c>
      <c r="G35" s="97">
        <f>SUM(G31:G34)*Допущения!$C$67</f>
        <v>30.524963999999997</v>
      </c>
      <c r="H35" s="97">
        <f>SUM(H31:H34)*Допущения!$C$67</f>
        <v>30.524963999999997</v>
      </c>
      <c r="I35" s="97">
        <f>SUM(I31:I34)*Допущения!$C$67</f>
        <v>30.524963999999997</v>
      </c>
      <c r="J35" s="97">
        <f>SUM(J31:J34)*Допущения!$C$67</f>
        <v>30.524963999999997</v>
      </c>
      <c r="K35" s="97">
        <f>SUM(K31:K34)*Допущения!$C$67</f>
        <v>30.524963999999997</v>
      </c>
      <c r="L35" s="97">
        <f>SUM(L31:L34)*Допущения!$C$67</f>
        <v>30.524963999999997</v>
      </c>
      <c r="M35" s="97">
        <f>SUM(M31:M34)*Допущения!$C$67</f>
        <v>30.524963999999997</v>
      </c>
      <c r="N35" s="97">
        <f>SUM(N31:N34)*Допущения!$C$67</f>
        <v>30.524963999999997</v>
      </c>
      <c r="O35" s="97">
        <f>SUM(O31:O34)*Допущения!$C$67</f>
        <v>30.524963999999997</v>
      </c>
      <c r="P35" s="97">
        <f>SUM(P31:P34)*Допущения!$C$67</f>
        <v>30.524963999999997</v>
      </c>
      <c r="Q35" s="97">
        <f>SUM(Q31:Q34)*Допущения!$C$67</f>
        <v>30.524963999999997</v>
      </c>
      <c r="R35" s="97">
        <f>SUM(R31:R34)*Допущения!$C$67</f>
        <v>30.524963999999997</v>
      </c>
      <c r="S35" s="97">
        <f>SUM(S31:S34)*Допущения!$C$67</f>
        <v>31.54571292</v>
      </c>
      <c r="T35" s="97">
        <f>SUM(T31:T34)*Допущения!$C$67</f>
        <v>31.54571292</v>
      </c>
      <c r="U35" s="97">
        <f>SUM(U31:U34)*Допущения!$C$67</f>
        <v>31.54571292</v>
      </c>
      <c r="V35" s="97">
        <f>SUM(V31:V34)*Допущения!$C$67</f>
        <v>31.54571292</v>
      </c>
      <c r="W35" s="97">
        <f>SUM(W31:W34)*Допущения!$C$67</f>
        <v>31.54571292</v>
      </c>
      <c r="X35" s="97">
        <f>SUM(X31:X34)*Допущения!$C$67</f>
        <v>31.54571292</v>
      </c>
      <c r="Y35" s="97">
        <f>SUM(Y31:Y34)*Допущения!$C$67</f>
        <v>31.54571292</v>
      </c>
      <c r="Z35" s="97">
        <f>SUM(Z31:Z34)*Допущения!$C$67</f>
        <v>31.54571292</v>
      </c>
      <c r="AA35" s="97">
        <f>SUM(AA31:AA34)*Допущения!$C$67</f>
        <v>31.54571292</v>
      </c>
      <c r="AB35" s="97">
        <f>SUM(AB31:AB34)*Допущения!$C$67</f>
        <v>31.54571292</v>
      </c>
      <c r="AC35" s="97">
        <f>SUM(AC31:AC34)*Допущения!$C$67</f>
        <v>31.54571292</v>
      </c>
      <c r="AD35" s="97">
        <f>SUM(AD31:AD34)*Допущения!$C$67</f>
        <v>31.54571292</v>
      </c>
      <c r="AE35" s="97">
        <f>SUM(AE31:AE34)*Допущения!$C$67</f>
        <v>32.602334307599996</v>
      </c>
      <c r="AF35" s="97">
        <f>SUM(AF31:AF34)*Допущения!$C$67</f>
        <v>32.602334307599996</v>
      </c>
      <c r="AG35" s="97">
        <f>SUM(AG31:AG34)*Допущения!$C$67</f>
        <v>32.602334307599996</v>
      </c>
      <c r="AH35" s="97">
        <f>SUM(AH31:AH34)*Допущения!$C$67</f>
        <v>32.602334307599996</v>
      </c>
      <c r="AI35" s="97">
        <f>SUM(AI31:AI34)*Допущения!$C$67</f>
        <v>32.602334307599996</v>
      </c>
      <c r="AJ35" s="97">
        <f>SUM(AJ31:AJ34)*Допущения!$C$67</f>
        <v>32.602334307599996</v>
      </c>
      <c r="AK35" s="97">
        <f>SUM(AK31:AK34)*Допущения!$C$67</f>
        <v>32.602334307599996</v>
      </c>
      <c r="AL35" s="97">
        <f>SUM(AL31:AL34)*Допущения!$C$67</f>
        <v>32.602334307599996</v>
      </c>
      <c r="AM35" s="97">
        <f>SUM(AM31:AM34)*Допущения!$C$67</f>
        <v>32.602334307599996</v>
      </c>
      <c r="AN35" s="97">
        <f>SUM(AN31:AN34)*Допущения!$C$67</f>
        <v>32.602334307599996</v>
      </c>
      <c r="AO35" s="97">
        <f>SUM(AO31:AO34)*Допущения!$C$67</f>
        <v>32.602334307599996</v>
      </c>
      <c r="AP35" s="97">
        <f>SUM(AP31:AP34)*Допущения!$C$67</f>
        <v>32.602334307599996</v>
      </c>
      <c r="AQ35" s="97">
        <f>SUM(AQ31:AQ34)*Допущения!$C$67</f>
        <v>33.696166836828013</v>
      </c>
      <c r="AR35" s="97">
        <f>SUM(AR31:AR34)*Допущения!$C$67</f>
        <v>33.696166836828013</v>
      </c>
      <c r="AS35" s="97">
        <f>SUM(AS31:AS34)*Допущения!$C$67</f>
        <v>33.696166836828013</v>
      </c>
      <c r="AT35" s="97">
        <f>SUM(AT31:AT34)*Допущения!$C$67</f>
        <v>33.696166836828013</v>
      </c>
      <c r="AU35" s="97">
        <f>SUM(AU31:AU34)*Допущения!$C$67</f>
        <v>33.696166836828013</v>
      </c>
      <c r="AV35" s="97">
        <f>SUM(AV31:AV34)*Допущения!$C$67</f>
        <v>33.696166836828013</v>
      </c>
      <c r="AW35" s="97">
        <f>SUM(AW31:AW34)*Допущения!$C$67</f>
        <v>33.696166836828013</v>
      </c>
      <c r="AX35" s="97">
        <f>SUM(AX31:AX34)*Допущения!$C$67</f>
        <v>33.696166836828013</v>
      </c>
      <c r="AY35" s="97">
        <f>SUM(AY31:AY34)*Допущения!$C$67</f>
        <v>33.696166836828013</v>
      </c>
      <c r="AZ35" s="97">
        <f>SUM(AZ31:AZ34)*Допущения!$C$67</f>
        <v>33.696166836828013</v>
      </c>
      <c r="BA35" s="97">
        <f>SUM(BA31:BA34)*Допущения!$C$67</f>
        <v>33.696166836828013</v>
      </c>
      <c r="BB35" s="97">
        <f>SUM(BB31:BB34)*Допущения!$C$67</f>
        <v>33.696166836828013</v>
      </c>
      <c r="BC35" s="97">
        <f>SUM(BC31:BC34)*Допущения!$C$67</f>
        <v>34.828602466932843</v>
      </c>
      <c r="BD35" s="97">
        <f>SUM(BD31:BD34)*Допущения!$C$67</f>
        <v>34.828602466932843</v>
      </c>
      <c r="BE35" s="97">
        <f>SUM(BE31:BE34)*Допущения!$C$67</f>
        <v>34.828602466932843</v>
      </c>
      <c r="BF35" s="97">
        <f>SUM(BF31:BF34)*Допущения!$C$67</f>
        <v>34.828602466932843</v>
      </c>
      <c r="BG35" s="97">
        <f>SUM(BG31:BG34)*Допущения!$C$67</f>
        <v>34.828602466932843</v>
      </c>
      <c r="BH35" s="97">
        <f>SUM(BH31:BH34)*Допущения!$C$67</f>
        <v>34.828602466932843</v>
      </c>
      <c r="BI35" s="97">
        <f>SUM(BI31:BI34)*Допущения!$C$67</f>
        <v>34.828602466932843</v>
      </c>
      <c r="BJ35" s="97">
        <f>SUM(BJ31:BJ34)*Допущения!$C$67</f>
        <v>34.828602466932843</v>
      </c>
      <c r="BL35" s="25">
        <f t="shared" si="19"/>
        <v>29.538799999999998</v>
      </c>
      <c r="BM35" s="25">
        <f t="shared" si="19"/>
        <v>366.29956800000008</v>
      </c>
      <c r="BN35" s="25">
        <f t="shared" si="19"/>
        <v>378.54855504000011</v>
      </c>
      <c r="BO35" s="25">
        <f t="shared" si="19"/>
        <v>391.22801169120004</v>
      </c>
      <c r="BP35" s="25">
        <f t="shared" si="19"/>
        <v>404.35400204193616</v>
      </c>
      <c r="BQ35" s="25">
        <f t="shared" si="19"/>
        <v>278.62881973546274</v>
      </c>
    </row>
    <row r="36" spans="1:69">
      <c r="A36" s="18" t="s">
        <v>11</v>
      </c>
      <c r="B36" s="18"/>
      <c r="C36" s="98">
        <f>SUM(C31:C35)*'Анализ чувствительности'!$B$8/100</f>
        <v>0</v>
      </c>
      <c r="D36" s="98">
        <f>SUM(D31:D35)*'Анализ чувствительности'!$B$8/100</f>
        <v>0</v>
      </c>
      <c r="E36" s="98">
        <f>SUM(E31:E35)*'Анализ чувствительности'!$B$8/100</f>
        <v>0</v>
      </c>
      <c r="F36" s="98">
        <f>SUM(F31:F35)*'Анализ чувствительности'!$B$8/100</f>
        <v>1014.1654666666668</v>
      </c>
      <c r="G36" s="98">
        <f>SUM(G31:G35)*'Анализ чувствительности'!$B$8/100</f>
        <v>1048.023764</v>
      </c>
      <c r="H36" s="98">
        <f>SUM(H31:H35)*'Анализ чувствительности'!$B$8/100</f>
        <v>1048.023764</v>
      </c>
      <c r="I36" s="98">
        <f>SUM(I31:I35)*'Анализ чувствительности'!$B$8/100</f>
        <v>1048.023764</v>
      </c>
      <c r="J36" s="98">
        <f>SUM(J31:J35)*'Анализ чувствительности'!$B$8/100</f>
        <v>1048.023764</v>
      </c>
      <c r="K36" s="98">
        <f>SUM(K31:K35)*'Анализ чувствительности'!$B$8/100</f>
        <v>1048.023764</v>
      </c>
      <c r="L36" s="98">
        <f>SUM(L31:L35)*'Анализ чувствительности'!$B$8/100</f>
        <v>1048.023764</v>
      </c>
      <c r="M36" s="98">
        <f>SUM(M31:M35)*'Анализ чувствительности'!$B$8/100</f>
        <v>1048.023764</v>
      </c>
      <c r="N36" s="98">
        <f>SUM(N31:N35)*'Анализ чувствительности'!$B$8/100</f>
        <v>1048.023764</v>
      </c>
      <c r="O36" s="98">
        <f>SUM(O31:O35)*'Анализ чувствительности'!$B$8/100</f>
        <v>1048.023764</v>
      </c>
      <c r="P36" s="98">
        <f>SUM(P31:P35)*'Анализ чувствительности'!$B$8/100</f>
        <v>1048.023764</v>
      </c>
      <c r="Q36" s="98">
        <f>SUM(Q31:Q35)*'Анализ чувствительности'!$B$8/100</f>
        <v>1048.023764</v>
      </c>
      <c r="R36" s="98">
        <f>SUM(R31:R35)*'Анализ чувствительности'!$B$8/100</f>
        <v>1048.023764</v>
      </c>
      <c r="S36" s="98">
        <f>SUM(S31:S35)*'Анализ чувствительности'!$B$8/100</f>
        <v>1083.0694769199999</v>
      </c>
      <c r="T36" s="98">
        <f>SUM(T31:T35)*'Анализ чувствительности'!$B$8/100</f>
        <v>1083.0694769199999</v>
      </c>
      <c r="U36" s="98">
        <f>SUM(U31:U35)*'Анализ чувствительности'!$B$8/100</f>
        <v>1083.0694769199999</v>
      </c>
      <c r="V36" s="98">
        <f>SUM(V31:V35)*'Анализ чувствительности'!$B$8/100</f>
        <v>1083.0694769199999</v>
      </c>
      <c r="W36" s="98">
        <f>SUM(W31:W35)*'Анализ чувствительности'!$B$8/100</f>
        <v>1083.0694769199999</v>
      </c>
      <c r="X36" s="98">
        <f>SUM(X31:X35)*'Анализ чувствительности'!$B$8/100</f>
        <v>1083.0694769199999</v>
      </c>
      <c r="Y36" s="98">
        <f>SUM(Y31:Y35)*'Анализ чувствительности'!$B$8/100</f>
        <v>1083.0694769199999</v>
      </c>
      <c r="Z36" s="98">
        <f>SUM(Z31:Z35)*'Анализ чувствительности'!$B$8/100</f>
        <v>1083.0694769199999</v>
      </c>
      <c r="AA36" s="98">
        <f>SUM(AA31:AA35)*'Анализ чувствительности'!$B$8/100</f>
        <v>1083.0694769199999</v>
      </c>
      <c r="AB36" s="98">
        <f>SUM(AB31:AB35)*'Анализ чувствительности'!$B$8/100</f>
        <v>1083.0694769199999</v>
      </c>
      <c r="AC36" s="98">
        <f>SUM(AC31:AC35)*'Анализ чувствительности'!$B$8/100</f>
        <v>1083.0694769199999</v>
      </c>
      <c r="AD36" s="98">
        <f>SUM(AD31:AD35)*'Анализ чувствительности'!$B$8/100</f>
        <v>1083.0694769199999</v>
      </c>
      <c r="AE36" s="98">
        <f>SUM(AE31:AE35)*'Анализ чувствительности'!$B$8/100</f>
        <v>1119.3468112275998</v>
      </c>
      <c r="AF36" s="98">
        <f>SUM(AF31:AF35)*'Анализ чувствительности'!$B$8/100</f>
        <v>1119.3468112275998</v>
      </c>
      <c r="AG36" s="98">
        <f>SUM(AG31:AG35)*'Анализ чувствительности'!$B$8/100</f>
        <v>1119.3468112275998</v>
      </c>
      <c r="AH36" s="98">
        <f>SUM(AH31:AH35)*'Анализ чувствительности'!$B$8/100</f>
        <v>1119.3468112275998</v>
      </c>
      <c r="AI36" s="98">
        <f>SUM(AI31:AI35)*'Анализ чувствительности'!$B$8/100</f>
        <v>1119.3468112275998</v>
      </c>
      <c r="AJ36" s="98">
        <f>SUM(AJ31:AJ35)*'Анализ чувствительности'!$B$8/100</f>
        <v>1119.3468112275998</v>
      </c>
      <c r="AK36" s="98">
        <f>SUM(AK31:AK35)*'Анализ чувствительности'!$B$8/100</f>
        <v>1119.3468112275998</v>
      </c>
      <c r="AL36" s="98">
        <f>SUM(AL31:AL35)*'Анализ чувствительности'!$B$8/100</f>
        <v>1119.3468112275998</v>
      </c>
      <c r="AM36" s="98">
        <f>SUM(AM31:AM35)*'Анализ чувствительности'!$B$8/100</f>
        <v>1119.3468112275998</v>
      </c>
      <c r="AN36" s="98">
        <f>SUM(AN31:AN35)*'Анализ чувствительности'!$B$8/100</f>
        <v>1119.3468112275998</v>
      </c>
      <c r="AO36" s="98">
        <f>SUM(AO31:AO35)*'Анализ чувствительности'!$B$8/100</f>
        <v>1119.3468112275998</v>
      </c>
      <c r="AP36" s="98">
        <f>SUM(AP31:AP35)*'Анализ чувствительности'!$B$8/100</f>
        <v>1119.3468112275998</v>
      </c>
      <c r="AQ36" s="98">
        <f>SUM(AQ31:AQ35)*'Анализ чувствительности'!$B$8/100</f>
        <v>1156.9017280644284</v>
      </c>
      <c r="AR36" s="98">
        <f>SUM(AR31:AR35)*'Анализ чувствительности'!$B$8/100</f>
        <v>1156.9017280644284</v>
      </c>
      <c r="AS36" s="98">
        <f>SUM(AS31:AS35)*'Анализ чувствительности'!$B$8/100</f>
        <v>1156.9017280644284</v>
      </c>
      <c r="AT36" s="98">
        <f>SUM(AT31:AT35)*'Анализ чувствительности'!$B$8/100</f>
        <v>1156.9017280644284</v>
      </c>
      <c r="AU36" s="98">
        <f>SUM(AU31:AU35)*'Анализ чувствительности'!$B$8/100</f>
        <v>1156.9017280644284</v>
      </c>
      <c r="AV36" s="98">
        <f>SUM(AV31:AV35)*'Анализ чувствительности'!$B$8/100</f>
        <v>1156.9017280644284</v>
      </c>
      <c r="AW36" s="98">
        <f>SUM(AW31:AW35)*'Анализ чувствительности'!$B$8/100</f>
        <v>1156.9017280644284</v>
      </c>
      <c r="AX36" s="98">
        <f>SUM(AX31:AX35)*'Анализ чувствительности'!$B$8/100</f>
        <v>1156.9017280644284</v>
      </c>
      <c r="AY36" s="98">
        <f>SUM(AY31:AY35)*'Анализ чувствительности'!$B$8/100</f>
        <v>1156.9017280644284</v>
      </c>
      <c r="AZ36" s="98">
        <f>SUM(AZ31:AZ35)*'Анализ чувствительности'!$B$8/100</f>
        <v>1156.9017280644284</v>
      </c>
      <c r="BA36" s="98">
        <f>SUM(BA31:BA35)*'Анализ чувствительности'!$B$8/100</f>
        <v>1156.9017280644284</v>
      </c>
      <c r="BB36" s="98">
        <f>SUM(BB31:BB35)*'Анализ чувствительности'!$B$8/100</f>
        <v>1156.9017280644284</v>
      </c>
      <c r="BC36" s="98">
        <f>SUM(BC31:BC35)*'Анализ чувствительности'!$B$8/100</f>
        <v>1195.7820180313608</v>
      </c>
      <c r="BD36" s="98">
        <f>SUM(BD31:BD35)*'Анализ чувствительности'!$B$8/100</f>
        <v>1195.7820180313608</v>
      </c>
      <c r="BE36" s="98">
        <f>SUM(BE31:BE35)*'Анализ чувствительности'!$B$8/100</f>
        <v>1195.7820180313608</v>
      </c>
      <c r="BF36" s="98">
        <f>SUM(BF31:BF35)*'Анализ чувствительности'!$B$8/100</f>
        <v>1195.7820180313608</v>
      </c>
      <c r="BG36" s="98">
        <f>SUM(BG31:BG35)*'Анализ чувствительности'!$B$8/100</f>
        <v>1195.7820180313608</v>
      </c>
      <c r="BH36" s="98">
        <f>SUM(BH31:BH35)*'Анализ чувствительности'!$B$8/100</f>
        <v>1195.7820180313608</v>
      </c>
      <c r="BI36" s="98">
        <f>SUM(BI31:BI35)*'Анализ чувствительности'!$B$8/100</f>
        <v>1195.7820180313608</v>
      </c>
      <c r="BJ36" s="98">
        <f>SUM(BJ31:BJ35)*'Анализ чувствительности'!$B$8/100</f>
        <v>1195.7820180313608</v>
      </c>
      <c r="BL36" s="24">
        <f t="shared" si="19"/>
        <v>1014.1654666666668</v>
      </c>
      <c r="BM36" s="24">
        <f t="shared" si="19"/>
        <v>12576.285167999997</v>
      </c>
      <c r="BN36" s="24">
        <f t="shared" si="19"/>
        <v>12996.833723039999</v>
      </c>
      <c r="BO36" s="24">
        <f t="shared" si="19"/>
        <v>13432.1617347312</v>
      </c>
      <c r="BP36" s="24">
        <f t="shared" si="19"/>
        <v>13882.820736773145</v>
      </c>
      <c r="BQ36" s="24">
        <f t="shared" si="19"/>
        <v>9566.2561442508868</v>
      </c>
    </row>
    <row r="37" spans="1:69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L37" s="32"/>
      <c r="BM37" s="32"/>
      <c r="BN37" s="32"/>
      <c r="BO37" s="32"/>
      <c r="BP37" s="32"/>
      <c r="BQ37" s="32"/>
    </row>
    <row r="38" spans="1:69">
      <c r="A38" s="18" t="s">
        <v>254</v>
      </c>
      <c r="B38" s="18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L38" s="32"/>
      <c r="BM38" s="32"/>
      <c r="BN38" s="32"/>
      <c r="BO38" s="32"/>
      <c r="BP38" s="32"/>
      <c r="BQ38" s="32"/>
    </row>
    <row r="39" spans="1:69" ht="15.75" customHeight="1">
      <c r="A39" s="30" t="s">
        <v>91</v>
      </c>
      <c r="B39" s="53" t="s">
        <v>91</v>
      </c>
      <c r="C39" s="99">
        <f>Персонал!C$75</f>
        <v>1151</v>
      </c>
      <c r="D39" s="99">
        <f>Персонал!D$75</f>
        <v>1151</v>
      </c>
      <c r="E39" s="99">
        <f>Персонал!E$75</f>
        <v>1151</v>
      </c>
      <c r="F39" s="99">
        <f>Персонал!F$75</f>
        <v>1151</v>
      </c>
      <c r="G39" s="99">
        <f>Персонал!G$75</f>
        <v>1185.5300000000002</v>
      </c>
      <c r="H39" s="99">
        <f>Персонал!H$75</f>
        <v>1185.5300000000002</v>
      </c>
      <c r="I39" s="99">
        <f>Персонал!I$75</f>
        <v>1185.5300000000002</v>
      </c>
      <c r="J39" s="99">
        <f>Персонал!J$75</f>
        <v>1185.5300000000002</v>
      </c>
      <c r="K39" s="99">
        <f>Персонал!K$75</f>
        <v>1185.5300000000002</v>
      </c>
      <c r="L39" s="99">
        <f>Персонал!L$75</f>
        <v>1185.5300000000002</v>
      </c>
      <c r="M39" s="99">
        <f>Персонал!M$75</f>
        <v>1185.5300000000002</v>
      </c>
      <c r="N39" s="99">
        <f>Персонал!N$75</f>
        <v>1185.5300000000002</v>
      </c>
      <c r="O39" s="99">
        <f>Персонал!O$75</f>
        <v>1185.5300000000002</v>
      </c>
      <c r="P39" s="99">
        <f>Персонал!P$75</f>
        <v>1185.5300000000002</v>
      </c>
      <c r="Q39" s="99">
        <f>Персонал!Q$75</f>
        <v>1185.5300000000002</v>
      </c>
      <c r="R39" s="99">
        <f>Персонал!R$75</f>
        <v>1185.5300000000002</v>
      </c>
      <c r="S39" s="99">
        <f>Персонал!S$75</f>
        <v>1221.0958999999998</v>
      </c>
      <c r="T39" s="99">
        <f>Персонал!T$75</f>
        <v>1221.0958999999998</v>
      </c>
      <c r="U39" s="99">
        <f>Персонал!U$75</f>
        <v>1221.0958999999998</v>
      </c>
      <c r="V39" s="99">
        <f>Персонал!V$75</f>
        <v>1221.0958999999998</v>
      </c>
      <c r="W39" s="99">
        <f>Персонал!W$75</f>
        <v>1221.0958999999998</v>
      </c>
      <c r="X39" s="99">
        <f>Персонал!X$75</f>
        <v>1221.0958999999998</v>
      </c>
      <c r="Y39" s="99">
        <f>Персонал!Y$75</f>
        <v>1221.0958999999998</v>
      </c>
      <c r="Z39" s="99">
        <f>Персонал!Z$75</f>
        <v>1221.0958999999998</v>
      </c>
      <c r="AA39" s="99">
        <f>Персонал!AA$75</f>
        <v>1221.0958999999998</v>
      </c>
      <c r="AB39" s="99">
        <f>Персонал!AB$75</f>
        <v>1221.0958999999998</v>
      </c>
      <c r="AC39" s="99">
        <f>Персонал!AC$75</f>
        <v>1221.0958999999998</v>
      </c>
      <c r="AD39" s="99">
        <f>Персонал!AD$75</f>
        <v>1221.0958999999998</v>
      </c>
      <c r="AE39" s="99">
        <f>Персонал!AE$75</f>
        <v>1257.7287769999998</v>
      </c>
      <c r="AF39" s="99">
        <f>Персонал!AF$75</f>
        <v>1257.7287769999998</v>
      </c>
      <c r="AG39" s="99">
        <f>Персонал!AG$75</f>
        <v>1257.7287769999998</v>
      </c>
      <c r="AH39" s="99">
        <f>Персонал!AH$75</f>
        <v>1257.7287769999998</v>
      </c>
      <c r="AI39" s="99">
        <f>Персонал!AI$75</f>
        <v>1257.7287769999998</v>
      </c>
      <c r="AJ39" s="99">
        <f>Персонал!AJ$75</f>
        <v>1257.7287769999998</v>
      </c>
      <c r="AK39" s="99">
        <f>Персонал!AK$75</f>
        <v>1257.7287769999998</v>
      </c>
      <c r="AL39" s="99">
        <f>Персонал!AL$75</f>
        <v>1257.7287769999998</v>
      </c>
      <c r="AM39" s="99">
        <f>Персонал!AM$75</f>
        <v>1257.7287769999998</v>
      </c>
      <c r="AN39" s="99">
        <f>Персонал!AN$75</f>
        <v>1257.7287769999998</v>
      </c>
      <c r="AO39" s="99">
        <f>Персонал!AO$75</f>
        <v>1257.7287769999998</v>
      </c>
      <c r="AP39" s="99">
        <f>Персонал!AP$75</f>
        <v>1257.7287769999998</v>
      </c>
      <c r="AQ39" s="99">
        <f>Персонал!AQ$75</f>
        <v>1295.4606403100001</v>
      </c>
      <c r="AR39" s="99">
        <f>Персонал!AR$75</f>
        <v>1295.4606403100001</v>
      </c>
      <c r="AS39" s="99">
        <f>Персонал!AS$75</f>
        <v>1295.4606403100001</v>
      </c>
      <c r="AT39" s="99">
        <f>Персонал!AT$75</f>
        <v>1295.4606403100001</v>
      </c>
      <c r="AU39" s="99">
        <f>Персонал!AU$75</f>
        <v>1295.4606403100001</v>
      </c>
      <c r="AV39" s="99">
        <f>Персонал!AV$75</f>
        <v>1295.4606403100001</v>
      </c>
      <c r="AW39" s="99">
        <f>Персонал!AW$75</f>
        <v>1295.4606403100001</v>
      </c>
      <c r="AX39" s="99">
        <f>Персонал!AX$75</f>
        <v>1295.4606403100001</v>
      </c>
      <c r="AY39" s="99">
        <f>Персонал!AY$75</f>
        <v>1295.4606403100001</v>
      </c>
      <c r="AZ39" s="99">
        <f>Персонал!AZ$75</f>
        <v>1295.4606403100001</v>
      </c>
      <c r="BA39" s="99">
        <f>Персонал!BA$75</f>
        <v>1295.4606403100001</v>
      </c>
      <c r="BB39" s="99">
        <f>Персонал!BB$75</f>
        <v>1295.4606403100001</v>
      </c>
      <c r="BC39" s="99">
        <f>Персонал!BC$75</f>
        <v>1334.3244595193</v>
      </c>
      <c r="BD39" s="99">
        <f>Персонал!BD$75</f>
        <v>1334.3244595193</v>
      </c>
      <c r="BE39" s="99">
        <f>Персонал!BE$75</f>
        <v>1334.3244595193</v>
      </c>
      <c r="BF39" s="99">
        <f>Персонал!BF$75</f>
        <v>1334.3244595193</v>
      </c>
      <c r="BG39" s="99">
        <f>Персонал!BG$75</f>
        <v>1334.3244595193</v>
      </c>
      <c r="BH39" s="99">
        <f>Персонал!BH$75</f>
        <v>1334.3244595193</v>
      </c>
      <c r="BI39" s="99">
        <f>Персонал!BI$75</f>
        <v>1334.3244595193</v>
      </c>
      <c r="BJ39" s="99">
        <f>Персонал!BJ$75</f>
        <v>1334.3244595193</v>
      </c>
      <c r="BL39" s="247">
        <f t="shared" ref="BL39:BQ51" si="20">SUMIF($C$2:$BJ$2,BL$2,$C39:$BJ39)</f>
        <v>4604</v>
      </c>
      <c r="BM39" s="247">
        <f t="shared" si="20"/>
        <v>14226.360000000006</v>
      </c>
      <c r="BN39" s="247">
        <f t="shared" si="20"/>
        <v>14653.150800000001</v>
      </c>
      <c r="BO39" s="247">
        <f t="shared" si="20"/>
        <v>15092.745324000001</v>
      </c>
      <c r="BP39" s="247">
        <f t="shared" si="20"/>
        <v>15545.527683720005</v>
      </c>
      <c r="BQ39" s="247">
        <f t="shared" si="20"/>
        <v>10674.5956761544</v>
      </c>
    </row>
    <row r="40" spans="1:69" ht="26.1" customHeight="1">
      <c r="A40" s="30" t="s">
        <v>92</v>
      </c>
      <c r="B40" s="53" t="s">
        <v>223</v>
      </c>
      <c r="C40" s="99">
        <f>Персонал!C$101</f>
        <v>494.92999999999995</v>
      </c>
      <c r="D40" s="99">
        <f>Персонал!D$101</f>
        <v>494.92999999999995</v>
      </c>
      <c r="E40" s="99">
        <f>Персонал!E$101</f>
        <v>494.92999999999995</v>
      </c>
      <c r="F40" s="99">
        <f>Персонал!F$101</f>
        <v>494.92999999999995</v>
      </c>
      <c r="G40" s="99">
        <f>Персонал!G$101</f>
        <v>509.77789999999999</v>
      </c>
      <c r="H40" s="99">
        <f>Персонал!H$101</f>
        <v>509.77789999999999</v>
      </c>
      <c r="I40" s="99">
        <f>Персонал!I$101</f>
        <v>509.77789999999999</v>
      </c>
      <c r="J40" s="99">
        <f>Персонал!J$101</f>
        <v>509.77789999999999</v>
      </c>
      <c r="K40" s="99">
        <f>Персонал!K$101</f>
        <v>509.77789999999999</v>
      </c>
      <c r="L40" s="99">
        <f>Персонал!L$101</f>
        <v>509.77789999999999</v>
      </c>
      <c r="M40" s="99">
        <f>Персонал!M$101</f>
        <v>509.77789999999999</v>
      </c>
      <c r="N40" s="99">
        <f>Персонал!N$101</f>
        <v>509.77789999999999</v>
      </c>
      <c r="O40" s="99">
        <f>Персонал!O$101</f>
        <v>509.77789999999999</v>
      </c>
      <c r="P40" s="99">
        <f>Персонал!P$101</f>
        <v>509.77789999999999</v>
      </c>
      <c r="Q40" s="99">
        <f>Персонал!Q$101</f>
        <v>509.77789999999999</v>
      </c>
      <c r="R40" s="99">
        <f>Персонал!R$101</f>
        <v>509.77789999999999</v>
      </c>
      <c r="S40" s="99">
        <f>Персонал!S$101</f>
        <v>525.071237</v>
      </c>
      <c r="T40" s="99">
        <f>Персонал!T$101</f>
        <v>525.071237</v>
      </c>
      <c r="U40" s="99">
        <f>Персонал!U$101</f>
        <v>525.071237</v>
      </c>
      <c r="V40" s="99">
        <f>Персонал!V$101</f>
        <v>525.071237</v>
      </c>
      <c r="W40" s="99">
        <f>Персонал!W$101</f>
        <v>525.071237</v>
      </c>
      <c r="X40" s="99">
        <f>Персонал!X$101</f>
        <v>525.071237</v>
      </c>
      <c r="Y40" s="99">
        <f>Персонал!Y$101</f>
        <v>525.071237</v>
      </c>
      <c r="Z40" s="99">
        <f>Персонал!Z$101</f>
        <v>525.071237</v>
      </c>
      <c r="AA40" s="99">
        <f>Персонал!AA$101</f>
        <v>525.071237</v>
      </c>
      <c r="AB40" s="99">
        <f>Персонал!AB$101</f>
        <v>525.071237</v>
      </c>
      <c r="AC40" s="99">
        <f>Персонал!AC$101</f>
        <v>525.071237</v>
      </c>
      <c r="AD40" s="99">
        <f>Персонал!AD$101</f>
        <v>525.071237</v>
      </c>
      <c r="AE40" s="99">
        <f>Персонал!AE$101</f>
        <v>540.82337411000003</v>
      </c>
      <c r="AF40" s="99">
        <f>Персонал!AF$101</f>
        <v>540.82337411000003</v>
      </c>
      <c r="AG40" s="99">
        <f>Персонал!AG$101</f>
        <v>540.82337411000003</v>
      </c>
      <c r="AH40" s="99">
        <f>Персонал!AH$101</f>
        <v>540.82337411000003</v>
      </c>
      <c r="AI40" s="99">
        <f>Персонал!AI$101</f>
        <v>540.82337411000003</v>
      </c>
      <c r="AJ40" s="99">
        <f>Персонал!AJ$101</f>
        <v>540.82337411000003</v>
      </c>
      <c r="AK40" s="99">
        <f>Персонал!AK$101</f>
        <v>540.82337411000003</v>
      </c>
      <c r="AL40" s="99">
        <f>Персонал!AL$101</f>
        <v>540.82337411000003</v>
      </c>
      <c r="AM40" s="99">
        <f>Персонал!AM$101</f>
        <v>540.82337411000003</v>
      </c>
      <c r="AN40" s="99">
        <f>Персонал!AN$101</f>
        <v>540.82337411000003</v>
      </c>
      <c r="AO40" s="99">
        <f>Персонал!AO$101</f>
        <v>540.82337411000003</v>
      </c>
      <c r="AP40" s="99">
        <f>Персонал!AP$101</f>
        <v>540.82337411000003</v>
      </c>
      <c r="AQ40" s="99">
        <f>Персонал!AQ$101</f>
        <v>557.04807533330006</v>
      </c>
      <c r="AR40" s="99">
        <f>Персонал!AR$101</f>
        <v>557.04807533330006</v>
      </c>
      <c r="AS40" s="99">
        <f>Персонал!AS$101</f>
        <v>557.04807533330006</v>
      </c>
      <c r="AT40" s="99">
        <f>Персонал!AT$101</f>
        <v>557.04807533330006</v>
      </c>
      <c r="AU40" s="99">
        <f>Персонал!AU$101</f>
        <v>557.04807533330006</v>
      </c>
      <c r="AV40" s="99">
        <f>Персонал!AV$101</f>
        <v>557.04807533330006</v>
      </c>
      <c r="AW40" s="99">
        <f>Персонал!AW$101</f>
        <v>557.04807533330006</v>
      </c>
      <c r="AX40" s="99">
        <f>Персонал!AX$101</f>
        <v>557.04807533330006</v>
      </c>
      <c r="AY40" s="99">
        <f>Персонал!AY$101</f>
        <v>557.04807533330006</v>
      </c>
      <c r="AZ40" s="99">
        <f>Персонал!AZ$101</f>
        <v>557.04807533330006</v>
      </c>
      <c r="BA40" s="99">
        <f>Персонал!BA$101</f>
        <v>557.04807533330006</v>
      </c>
      <c r="BB40" s="99">
        <f>Персонал!BB$101</f>
        <v>557.04807533330006</v>
      </c>
      <c r="BC40" s="99">
        <f>Персонал!BC$101</f>
        <v>573.75951759329905</v>
      </c>
      <c r="BD40" s="99">
        <f>Персонал!BD$101</f>
        <v>573.75951759329905</v>
      </c>
      <c r="BE40" s="99">
        <f>Персонал!BE$101</f>
        <v>573.75951759329905</v>
      </c>
      <c r="BF40" s="99">
        <f>Персонал!BF$101</f>
        <v>573.75951759329905</v>
      </c>
      <c r="BG40" s="99">
        <f>Персонал!BG$101</f>
        <v>573.75951759329905</v>
      </c>
      <c r="BH40" s="99">
        <f>Персонал!BH$101</f>
        <v>573.75951759329905</v>
      </c>
      <c r="BI40" s="99">
        <f>Персонал!BI$101</f>
        <v>573.75951759329905</v>
      </c>
      <c r="BJ40" s="99">
        <f>Персонал!BJ$101</f>
        <v>573.75951759329905</v>
      </c>
      <c r="BL40" s="247">
        <f t="shared" si="20"/>
        <v>1979.7199999999998</v>
      </c>
      <c r="BM40" s="247">
        <f t="shared" si="20"/>
        <v>6117.3347999999996</v>
      </c>
      <c r="BN40" s="247">
        <f t="shared" si="20"/>
        <v>6300.8548440000004</v>
      </c>
      <c r="BO40" s="247">
        <f t="shared" si="20"/>
        <v>6489.8804893200022</v>
      </c>
      <c r="BP40" s="247">
        <f t="shared" si="20"/>
        <v>6684.5769039996021</v>
      </c>
      <c r="BQ40" s="247">
        <f t="shared" si="20"/>
        <v>4590.0761407463933</v>
      </c>
    </row>
    <row r="41" spans="1:69" ht="15.75" customHeight="1">
      <c r="A41" s="30" t="str">
        <f>Цены!A47</f>
        <v>Банковские услуги</v>
      </c>
      <c r="B41" s="53" t="s">
        <v>221</v>
      </c>
      <c r="C41" s="99">
        <f>IF(C$3&lt;Допущения!$E$4,0,Цены!L47/1000)</f>
        <v>0</v>
      </c>
      <c r="D41" s="99">
        <f>IF(D$3&lt;Допущения!$E$4,0,Цены!M47/1000)</f>
        <v>0</v>
      </c>
      <c r="E41" s="99">
        <f>IF(E$3&lt;Допущения!$E$4,0,Цены!N47/1000)</f>
        <v>0</v>
      </c>
      <c r="F41" s="99">
        <f>IF(F$3&lt;Допущения!$E$4,0,Цены!O47/1000)</f>
        <v>8.3333333333333339</v>
      </c>
      <c r="G41" s="99">
        <f>IF(G$3&lt;Допущения!$E$4,0,Цены!P47/1000)</f>
        <v>8.7500000000000018</v>
      </c>
      <c r="H41" s="99">
        <f>IF(H$3&lt;Допущения!$E$4,0,Цены!Q47/1000)</f>
        <v>8.7500000000000018</v>
      </c>
      <c r="I41" s="99">
        <f>IF(I$3&lt;Допущения!$E$4,0,Цены!R47/1000)</f>
        <v>8.7500000000000018</v>
      </c>
      <c r="J41" s="99">
        <f>IF(J$3&lt;Допущения!$E$4,0,Цены!S47/1000)</f>
        <v>8.7500000000000018</v>
      </c>
      <c r="K41" s="99">
        <f>IF(K$3&lt;Допущения!$E$4,0,Цены!T47/1000)</f>
        <v>8.7500000000000018</v>
      </c>
      <c r="L41" s="99">
        <f>IF(L$3&lt;Допущения!$E$4,0,Цены!U47/1000)</f>
        <v>8.7500000000000018</v>
      </c>
      <c r="M41" s="99">
        <f>IF(M$3&lt;Допущения!$E$4,0,Цены!V47/1000)</f>
        <v>8.7500000000000018</v>
      </c>
      <c r="N41" s="99">
        <f>IF(N$3&lt;Допущения!$E$4,0,Цены!W47/1000)</f>
        <v>8.7500000000000018</v>
      </c>
      <c r="O41" s="99">
        <f>IF(O$3&lt;Допущения!$E$4,0,Цены!X47/1000)</f>
        <v>8.7500000000000018</v>
      </c>
      <c r="P41" s="99">
        <f>IF(P$3&lt;Допущения!$E$4,0,Цены!Y47/1000)</f>
        <v>8.7500000000000018</v>
      </c>
      <c r="Q41" s="99">
        <f>IF(Q$3&lt;Допущения!$E$4,0,Цены!Z47/1000)</f>
        <v>8.7500000000000018</v>
      </c>
      <c r="R41" s="99">
        <f>IF(R$3&lt;Допущения!$E$4,0,Цены!AA47/1000)</f>
        <v>8.7500000000000018</v>
      </c>
      <c r="S41" s="99">
        <f>IF(S$3&lt;Допущения!$E$4,0,Цены!AB47/1000)</f>
        <v>9.1875000000000018</v>
      </c>
      <c r="T41" s="99">
        <f>IF(T$3&lt;Допущения!$E$4,0,Цены!AC47/1000)</f>
        <v>9.1875000000000018</v>
      </c>
      <c r="U41" s="99">
        <f>IF(U$3&lt;Допущения!$E$4,0,Цены!AD47/1000)</f>
        <v>9.1875000000000018</v>
      </c>
      <c r="V41" s="99">
        <f>IF(V$3&lt;Допущения!$E$4,0,Цены!AE47/1000)</f>
        <v>9.1875000000000018</v>
      </c>
      <c r="W41" s="99">
        <f>IF(W$3&lt;Допущения!$E$4,0,Цены!AF47/1000)</f>
        <v>9.1875000000000018</v>
      </c>
      <c r="X41" s="99">
        <f>IF(X$3&lt;Допущения!$E$4,0,Цены!AG47/1000)</f>
        <v>9.1875000000000018</v>
      </c>
      <c r="Y41" s="99">
        <f>IF(Y$3&lt;Допущения!$E$4,0,Цены!AH47/1000)</f>
        <v>9.1875000000000018</v>
      </c>
      <c r="Z41" s="99">
        <f>IF(Z$3&lt;Допущения!$E$4,0,Цены!AI47/1000)</f>
        <v>9.1875000000000018</v>
      </c>
      <c r="AA41" s="99">
        <f>IF(AA$3&lt;Допущения!$E$4,0,Цены!AJ47/1000)</f>
        <v>9.1875000000000018</v>
      </c>
      <c r="AB41" s="99">
        <f>IF(AB$3&lt;Допущения!$E$4,0,Цены!AK47/1000)</f>
        <v>9.1875000000000018</v>
      </c>
      <c r="AC41" s="99">
        <f>IF(AC$3&lt;Допущения!$E$4,0,Цены!AL47/1000)</f>
        <v>9.1875000000000018</v>
      </c>
      <c r="AD41" s="99">
        <f>IF(AD$3&lt;Допущения!$E$4,0,Цены!AM47/1000)</f>
        <v>9.1875000000000018</v>
      </c>
      <c r="AE41" s="99">
        <f>IF(AE$3&lt;Допущения!$E$4,0,Цены!AN47/1000)</f>
        <v>9.6468750000000014</v>
      </c>
      <c r="AF41" s="99">
        <f>IF(AF$3&lt;Допущения!$E$4,0,Цены!AO47/1000)</f>
        <v>9.6468750000000014</v>
      </c>
      <c r="AG41" s="99">
        <f>IF(AG$3&lt;Допущения!$E$4,0,Цены!AP47/1000)</f>
        <v>9.6468750000000014</v>
      </c>
      <c r="AH41" s="99">
        <f>IF(AH$3&lt;Допущения!$E$4,0,Цены!AQ47/1000)</f>
        <v>9.6468750000000014</v>
      </c>
      <c r="AI41" s="99">
        <f>IF(AI$3&lt;Допущения!$E$4,0,Цены!AR47/1000)</f>
        <v>9.6468750000000014</v>
      </c>
      <c r="AJ41" s="99">
        <f>IF(AJ$3&lt;Допущения!$E$4,0,Цены!AS47/1000)</f>
        <v>9.6468750000000014</v>
      </c>
      <c r="AK41" s="99">
        <f>IF(AK$3&lt;Допущения!$E$4,0,Цены!AT47/1000)</f>
        <v>9.6468750000000014</v>
      </c>
      <c r="AL41" s="99">
        <f>IF(AL$3&lt;Допущения!$E$4,0,Цены!AU47/1000)</f>
        <v>9.6468750000000014</v>
      </c>
      <c r="AM41" s="99">
        <f>IF(AM$3&lt;Допущения!$E$4,0,Цены!AV47/1000)</f>
        <v>9.6468750000000014</v>
      </c>
      <c r="AN41" s="99">
        <f>IF(AN$3&lt;Допущения!$E$4,0,Цены!AW47/1000)</f>
        <v>9.6468750000000014</v>
      </c>
      <c r="AO41" s="99">
        <f>IF(AO$3&lt;Допущения!$E$4,0,Цены!AX47/1000)</f>
        <v>9.6468750000000014</v>
      </c>
      <c r="AP41" s="99">
        <f>IF(AP$3&lt;Допущения!$E$4,0,Цены!AY47/1000)</f>
        <v>9.6468750000000014</v>
      </c>
      <c r="AQ41" s="99">
        <f>IF(AQ$3&lt;Допущения!$E$4,0,Цены!AZ47/1000)</f>
        <v>10.129218750000001</v>
      </c>
      <c r="AR41" s="99">
        <f>IF(AR$3&lt;Допущения!$E$4,0,Цены!BA47/1000)</f>
        <v>10.129218750000001</v>
      </c>
      <c r="AS41" s="99">
        <f>IF(AS$3&lt;Допущения!$E$4,0,Цены!BB47/1000)</f>
        <v>10.129218750000001</v>
      </c>
      <c r="AT41" s="99">
        <f>IF(AT$3&lt;Допущения!$E$4,0,Цены!BC47/1000)</f>
        <v>10.129218750000001</v>
      </c>
      <c r="AU41" s="99">
        <f>IF(AU$3&lt;Допущения!$E$4,0,Цены!BD47/1000)</f>
        <v>10.129218750000001</v>
      </c>
      <c r="AV41" s="99">
        <f>IF(AV$3&lt;Допущения!$E$4,0,Цены!BE47/1000)</f>
        <v>10.129218750000001</v>
      </c>
      <c r="AW41" s="99">
        <f>IF(AW$3&lt;Допущения!$E$4,0,Цены!BF47/1000)</f>
        <v>10.129218750000001</v>
      </c>
      <c r="AX41" s="99">
        <f>IF(AX$3&lt;Допущения!$E$4,0,Цены!BG47/1000)</f>
        <v>10.129218750000001</v>
      </c>
      <c r="AY41" s="99">
        <f>IF(AY$3&lt;Допущения!$E$4,0,Цены!BH47/1000)</f>
        <v>10.129218750000001</v>
      </c>
      <c r="AZ41" s="99">
        <f>IF(AZ$3&lt;Допущения!$E$4,0,Цены!BI47/1000)</f>
        <v>10.129218750000001</v>
      </c>
      <c r="BA41" s="99">
        <f>IF(BA$3&lt;Допущения!$E$4,0,Цены!BJ47/1000)</f>
        <v>10.129218750000001</v>
      </c>
      <c r="BB41" s="99">
        <f>IF(BB$3&lt;Допущения!$E$4,0,Цены!BK47/1000)</f>
        <v>10.129218750000001</v>
      </c>
      <c r="BC41" s="99">
        <f>IF(BC$3&lt;Допущения!$E$4,0,Цены!BL47/1000)</f>
        <v>10.635679687500003</v>
      </c>
      <c r="BD41" s="99">
        <f>IF(BD$3&lt;Допущения!$E$4,0,Цены!BM47/1000)</f>
        <v>10.635679687500003</v>
      </c>
      <c r="BE41" s="99">
        <f>IF(BE$3&lt;Допущения!$E$4,0,Цены!BN47/1000)</f>
        <v>10.635679687500003</v>
      </c>
      <c r="BF41" s="99">
        <f>IF(BF$3&lt;Допущения!$E$4,0,Цены!BO47/1000)</f>
        <v>10.635679687500003</v>
      </c>
      <c r="BG41" s="99">
        <f>IF(BG$3&lt;Допущения!$E$4,0,Цены!BP47/1000)</f>
        <v>10.635679687500003</v>
      </c>
      <c r="BH41" s="99">
        <f>IF(BH$3&lt;Допущения!$E$4,0,Цены!BQ47/1000)</f>
        <v>10.635679687500003</v>
      </c>
      <c r="BI41" s="99">
        <f>IF(BI$3&lt;Допущения!$E$4,0,Цены!BR47/1000)</f>
        <v>10.635679687500003</v>
      </c>
      <c r="BJ41" s="99">
        <f>IF(BJ$3&lt;Допущения!$E$4,0,Цены!BS47/1000)</f>
        <v>10.635679687500003</v>
      </c>
      <c r="BL41" s="247">
        <f t="shared" si="20"/>
        <v>8.3333333333333339</v>
      </c>
      <c r="BM41" s="247">
        <f t="shared" si="20"/>
        <v>105.00000000000001</v>
      </c>
      <c r="BN41" s="247">
        <f t="shared" si="20"/>
        <v>110.25000000000001</v>
      </c>
      <c r="BO41" s="247">
        <f t="shared" si="20"/>
        <v>115.76249999999999</v>
      </c>
      <c r="BP41" s="247">
        <f t="shared" si="20"/>
        <v>121.55062500000004</v>
      </c>
      <c r="BQ41" s="247">
        <f t="shared" si="20"/>
        <v>85.085437500000026</v>
      </c>
    </row>
    <row r="42" spans="1:69" ht="15.75" customHeight="1">
      <c r="A42" s="30" t="str">
        <f>Цены!A48</f>
        <v>Интернет и связь</v>
      </c>
      <c r="B42" s="53" t="s">
        <v>221</v>
      </c>
      <c r="C42" s="99">
        <f>IF(C$3&lt;Допущения!$E$4,0,Цены!L48/1000)</f>
        <v>0</v>
      </c>
      <c r="D42" s="99">
        <f>IF(D$3&lt;Допущения!$E$4,0,Цены!M48/1000)</f>
        <v>0</v>
      </c>
      <c r="E42" s="99">
        <f>IF(E$3&lt;Допущения!$E$4,0,Цены!N48/1000)</f>
        <v>0</v>
      </c>
      <c r="F42" s="99">
        <f>IF(F$3&lt;Допущения!$E$4,0,Цены!O48/1000)</f>
        <v>8.3333333333333339</v>
      </c>
      <c r="G42" s="99">
        <f>IF(G$3&lt;Допущения!$E$4,0,Цены!P48/1000)</f>
        <v>8.7500000000000018</v>
      </c>
      <c r="H42" s="99">
        <f>IF(H$3&lt;Допущения!$E$4,0,Цены!Q48/1000)</f>
        <v>8.7500000000000018</v>
      </c>
      <c r="I42" s="99">
        <f>IF(I$3&lt;Допущения!$E$4,0,Цены!R48/1000)</f>
        <v>8.7500000000000018</v>
      </c>
      <c r="J42" s="99">
        <f>IF(J$3&lt;Допущения!$E$4,0,Цены!S48/1000)</f>
        <v>8.7500000000000018</v>
      </c>
      <c r="K42" s="99">
        <f>IF(K$3&lt;Допущения!$E$4,0,Цены!T48/1000)</f>
        <v>8.7500000000000018</v>
      </c>
      <c r="L42" s="99">
        <f>IF(L$3&lt;Допущения!$E$4,0,Цены!U48/1000)</f>
        <v>8.7500000000000018</v>
      </c>
      <c r="M42" s="99">
        <f>IF(M$3&lt;Допущения!$E$4,0,Цены!V48/1000)</f>
        <v>8.7500000000000018</v>
      </c>
      <c r="N42" s="99">
        <f>IF(N$3&lt;Допущения!$E$4,0,Цены!W48/1000)</f>
        <v>8.7500000000000018</v>
      </c>
      <c r="O42" s="99">
        <f>IF(O$3&lt;Допущения!$E$4,0,Цены!X48/1000)</f>
        <v>8.7500000000000018</v>
      </c>
      <c r="P42" s="99">
        <f>IF(P$3&lt;Допущения!$E$4,0,Цены!Y48/1000)</f>
        <v>8.7500000000000018</v>
      </c>
      <c r="Q42" s="99">
        <f>IF(Q$3&lt;Допущения!$E$4,0,Цены!Z48/1000)</f>
        <v>8.7500000000000018</v>
      </c>
      <c r="R42" s="99">
        <f>IF(R$3&lt;Допущения!$E$4,0,Цены!AA48/1000)</f>
        <v>8.7500000000000018</v>
      </c>
      <c r="S42" s="99">
        <f>IF(S$3&lt;Допущения!$E$4,0,Цены!AB48/1000)</f>
        <v>9.1875000000000018</v>
      </c>
      <c r="T42" s="99">
        <f>IF(T$3&lt;Допущения!$E$4,0,Цены!AC48/1000)</f>
        <v>9.1875000000000018</v>
      </c>
      <c r="U42" s="99">
        <f>IF(U$3&lt;Допущения!$E$4,0,Цены!AD48/1000)</f>
        <v>9.1875000000000018</v>
      </c>
      <c r="V42" s="99">
        <f>IF(V$3&lt;Допущения!$E$4,0,Цены!AE48/1000)</f>
        <v>9.1875000000000018</v>
      </c>
      <c r="W42" s="99">
        <f>IF(W$3&lt;Допущения!$E$4,0,Цены!AF48/1000)</f>
        <v>9.1875000000000018</v>
      </c>
      <c r="X42" s="99">
        <f>IF(X$3&lt;Допущения!$E$4,0,Цены!AG48/1000)</f>
        <v>9.1875000000000018</v>
      </c>
      <c r="Y42" s="99">
        <f>IF(Y$3&lt;Допущения!$E$4,0,Цены!AH48/1000)</f>
        <v>9.1875000000000018</v>
      </c>
      <c r="Z42" s="99">
        <f>IF(Z$3&lt;Допущения!$E$4,0,Цены!AI48/1000)</f>
        <v>9.1875000000000018</v>
      </c>
      <c r="AA42" s="99">
        <f>IF(AA$3&lt;Допущения!$E$4,0,Цены!AJ48/1000)</f>
        <v>9.1875000000000018</v>
      </c>
      <c r="AB42" s="99">
        <f>IF(AB$3&lt;Допущения!$E$4,0,Цены!AK48/1000)</f>
        <v>9.1875000000000018</v>
      </c>
      <c r="AC42" s="99">
        <f>IF(AC$3&lt;Допущения!$E$4,0,Цены!AL48/1000)</f>
        <v>9.1875000000000018</v>
      </c>
      <c r="AD42" s="99">
        <f>IF(AD$3&lt;Допущения!$E$4,0,Цены!AM48/1000)</f>
        <v>9.1875000000000018</v>
      </c>
      <c r="AE42" s="99">
        <f>IF(AE$3&lt;Допущения!$E$4,0,Цены!AN48/1000)</f>
        <v>9.6468750000000014</v>
      </c>
      <c r="AF42" s="99">
        <f>IF(AF$3&lt;Допущения!$E$4,0,Цены!AO48/1000)</f>
        <v>9.6468750000000014</v>
      </c>
      <c r="AG42" s="99">
        <f>IF(AG$3&lt;Допущения!$E$4,0,Цены!AP48/1000)</f>
        <v>9.6468750000000014</v>
      </c>
      <c r="AH42" s="99">
        <f>IF(AH$3&lt;Допущения!$E$4,0,Цены!AQ48/1000)</f>
        <v>9.6468750000000014</v>
      </c>
      <c r="AI42" s="99">
        <f>IF(AI$3&lt;Допущения!$E$4,0,Цены!AR48/1000)</f>
        <v>9.6468750000000014</v>
      </c>
      <c r="AJ42" s="99">
        <f>IF(AJ$3&lt;Допущения!$E$4,0,Цены!AS48/1000)</f>
        <v>9.6468750000000014</v>
      </c>
      <c r="AK42" s="99">
        <f>IF(AK$3&lt;Допущения!$E$4,0,Цены!AT48/1000)</f>
        <v>9.6468750000000014</v>
      </c>
      <c r="AL42" s="99">
        <f>IF(AL$3&lt;Допущения!$E$4,0,Цены!AU48/1000)</f>
        <v>9.6468750000000014</v>
      </c>
      <c r="AM42" s="99">
        <f>IF(AM$3&lt;Допущения!$E$4,0,Цены!AV48/1000)</f>
        <v>9.6468750000000014</v>
      </c>
      <c r="AN42" s="99">
        <f>IF(AN$3&lt;Допущения!$E$4,0,Цены!AW48/1000)</f>
        <v>9.6468750000000014</v>
      </c>
      <c r="AO42" s="99">
        <f>IF(AO$3&lt;Допущения!$E$4,0,Цены!AX48/1000)</f>
        <v>9.6468750000000014</v>
      </c>
      <c r="AP42" s="99">
        <f>IF(AP$3&lt;Допущения!$E$4,0,Цены!AY48/1000)</f>
        <v>9.6468750000000014</v>
      </c>
      <c r="AQ42" s="99">
        <f>IF(AQ$3&lt;Допущения!$E$4,0,Цены!AZ48/1000)</f>
        <v>10.129218750000001</v>
      </c>
      <c r="AR42" s="99">
        <f>IF(AR$3&lt;Допущения!$E$4,0,Цены!BA48/1000)</f>
        <v>10.129218750000001</v>
      </c>
      <c r="AS42" s="99">
        <f>IF(AS$3&lt;Допущения!$E$4,0,Цены!BB48/1000)</f>
        <v>10.129218750000001</v>
      </c>
      <c r="AT42" s="99">
        <f>IF(AT$3&lt;Допущения!$E$4,0,Цены!BC48/1000)</f>
        <v>10.129218750000001</v>
      </c>
      <c r="AU42" s="99">
        <f>IF(AU$3&lt;Допущения!$E$4,0,Цены!BD48/1000)</f>
        <v>10.129218750000001</v>
      </c>
      <c r="AV42" s="99">
        <f>IF(AV$3&lt;Допущения!$E$4,0,Цены!BE48/1000)</f>
        <v>10.129218750000001</v>
      </c>
      <c r="AW42" s="99">
        <f>IF(AW$3&lt;Допущения!$E$4,0,Цены!BF48/1000)</f>
        <v>10.129218750000001</v>
      </c>
      <c r="AX42" s="99">
        <f>IF(AX$3&lt;Допущения!$E$4,0,Цены!BG48/1000)</f>
        <v>10.129218750000001</v>
      </c>
      <c r="AY42" s="99">
        <f>IF(AY$3&lt;Допущения!$E$4,0,Цены!BH48/1000)</f>
        <v>10.129218750000001</v>
      </c>
      <c r="AZ42" s="99">
        <f>IF(AZ$3&lt;Допущения!$E$4,0,Цены!BI48/1000)</f>
        <v>10.129218750000001</v>
      </c>
      <c r="BA42" s="99">
        <f>IF(BA$3&lt;Допущения!$E$4,0,Цены!BJ48/1000)</f>
        <v>10.129218750000001</v>
      </c>
      <c r="BB42" s="99">
        <f>IF(BB$3&lt;Допущения!$E$4,0,Цены!BK48/1000)</f>
        <v>10.129218750000001</v>
      </c>
      <c r="BC42" s="99">
        <f>IF(BC$3&lt;Допущения!$E$4,0,Цены!BL48/1000)</f>
        <v>10.635679687500003</v>
      </c>
      <c r="BD42" s="99">
        <f>IF(BD$3&lt;Допущения!$E$4,0,Цены!BM48/1000)</f>
        <v>10.635679687500003</v>
      </c>
      <c r="BE42" s="99">
        <f>IF(BE$3&lt;Допущения!$E$4,0,Цены!BN48/1000)</f>
        <v>10.635679687500003</v>
      </c>
      <c r="BF42" s="99">
        <f>IF(BF$3&lt;Допущения!$E$4,0,Цены!BO48/1000)</f>
        <v>10.635679687500003</v>
      </c>
      <c r="BG42" s="99">
        <f>IF(BG$3&lt;Допущения!$E$4,0,Цены!BP48/1000)</f>
        <v>10.635679687500003</v>
      </c>
      <c r="BH42" s="99">
        <f>IF(BH$3&lt;Допущения!$E$4,0,Цены!BQ48/1000)</f>
        <v>10.635679687500003</v>
      </c>
      <c r="BI42" s="99">
        <f>IF(BI$3&lt;Допущения!$E$4,0,Цены!BR48/1000)</f>
        <v>10.635679687500003</v>
      </c>
      <c r="BJ42" s="99">
        <f>IF(BJ$3&lt;Допущения!$E$4,0,Цены!BS48/1000)</f>
        <v>10.635679687500003</v>
      </c>
      <c r="BL42" s="247">
        <f t="shared" si="20"/>
        <v>8.3333333333333339</v>
      </c>
      <c r="BM42" s="247">
        <f t="shared" si="20"/>
        <v>105.00000000000001</v>
      </c>
      <c r="BN42" s="247">
        <f t="shared" si="20"/>
        <v>110.25000000000001</v>
      </c>
      <c r="BO42" s="247">
        <f t="shared" si="20"/>
        <v>115.76249999999999</v>
      </c>
      <c r="BP42" s="247">
        <f t="shared" si="20"/>
        <v>121.55062500000004</v>
      </c>
      <c r="BQ42" s="247">
        <f t="shared" si="20"/>
        <v>85.085437500000026</v>
      </c>
    </row>
    <row r="43" spans="1:69" ht="15.75" customHeight="1">
      <c r="A43" s="30" t="str">
        <f>Цены!A49</f>
        <v>Дезинфекция</v>
      </c>
      <c r="B43" s="53" t="s">
        <v>221</v>
      </c>
      <c r="C43" s="99">
        <f>IF(C$3&lt;Допущения!$E$4,0,Цены!L49/1000)</f>
        <v>0</v>
      </c>
      <c r="D43" s="99">
        <f>IF(D$3&lt;Допущения!$E$4,0,Цены!M49/1000)</f>
        <v>0</v>
      </c>
      <c r="E43" s="99">
        <f>IF(E$3&lt;Допущения!$E$4,0,Цены!N49/1000)</f>
        <v>0</v>
      </c>
      <c r="F43" s="99">
        <f>IF(F$3&lt;Допущения!$E$4,0,Цены!O49/1000)</f>
        <v>10</v>
      </c>
      <c r="G43" s="99">
        <f>IF(G$3&lt;Допущения!$E$4,0,Цены!P49/1000)</f>
        <v>10.5</v>
      </c>
      <c r="H43" s="99">
        <f>IF(H$3&lt;Допущения!$E$4,0,Цены!Q49/1000)</f>
        <v>10.5</v>
      </c>
      <c r="I43" s="99">
        <f>IF(I$3&lt;Допущения!$E$4,0,Цены!R49/1000)</f>
        <v>10.5</v>
      </c>
      <c r="J43" s="99">
        <f>IF(J$3&lt;Допущения!$E$4,0,Цены!S49/1000)</f>
        <v>10.5</v>
      </c>
      <c r="K43" s="99">
        <f>IF(K$3&lt;Допущения!$E$4,0,Цены!T49/1000)</f>
        <v>10.5</v>
      </c>
      <c r="L43" s="99">
        <f>IF(L$3&lt;Допущения!$E$4,0,Цены!U49/1000)</f>
        <v>10.5</v>
      </c>
      <c r="M43" s="99">
        <f>IF(M$3&lt;Допущения!$E$4,0,Цены!V49/1000)</f>
        <v>10.5</v>
      </c>
      <c r="N43" s="99">
        <f>IF(N$3&lt;Допущения!$E$4,0,Цены!W49/1000)</f>
        <v>10.5</v>
      </c>
      <c r="O43" s="99">
        <f>IF(O$3&lt;Допущения!$E$4,0,Цены!X49/1000)</f>
        <v>10.5</v>
      </c>
      <c r="P43" s="99">
        <f>IF(P$3&lt;Допущения!$E$4,0,Цены!Y49/1000)</f>
        <v>10.5</v>
      </c>
      <c r="Q43" s="99">
        <f>IF(Q$3&lt;Допущения!$E$4,0,Цены!Z49/1000)</f>
        <v>10.5</v>
      </c>
      <c r="R43" s="99">
        <f>IF(R$3&lt;Допущения!$E$4,0,Цены!AA49/1000)</f>
        <v>10.5</v>
      </c>
      <c r="S43" s="99">
        <f>IF(S$3&lt;Допущения!$E$4,0,Цены!AB49/1000)</f>
        <v>11.025</v>
      </c>
      <c r="T43" s="99">
        <f>IF(T$3&lt;Допущения!$E$4,0,Цены!AC49/1000)</f>
        <v>11.025</v>
      </c>
      <c r="U43" s="99">
        <f>IF(U$3&lt;Допущения!$E$4,0,Цены!AD49/1000)</f>
        <v>11.025</v>
      </c>
      <c r="V43" s="99">
        <f>IF(V$3&lt;Допущения!$E$4,0,Цены!AE49/1000)</f>
        <v>11.025</v>
      </c>
      <c r="W43" s="99">
        <f>IF(W$3&lt;Допущения!$E$4,0,Цены!AF49/1000)</f>
        <v>11.025</v>
      </c>
      <c r="X43" s="99">
        <f>IF(X$3&lt;Допущения!$E$4,0,Цены!AG49/1000)</f>
        <v>11.025</v>
      </c>
      <c r="Y43" s="99">
        <f>IF(Y$3&lt;Допущения!$E$4,0,Цены!AH49/1000)</f>
        <v>11.025</v>
      </c>
      <c r="Z43" s="99">
        <f>IF(Z$3&lt;Допущения!$E$4,0,Цены!AI49/1000)</f>
        <v>11.025</v>
      </c>
      <c r="AA43" s="99">
        <f>IF(AA$3&lt;Допущения!$E$4,0,Цены!AJ49/1000)</f>
        <v>11.025</v>
      </c>
      <c r="AB43" s="99">
        <f>IF(AB$3&lt;Допущения!$E$4,0,Цены!AK49/1000)</f>
        <v>11.025</v>
      </c>
      <c r="AC43" s="99">
        <f>IF(AC$3&lt;Допущения!$E$4,0,Цены!AL49/1000)</f>
        <v>11.025</v>
      </c>
      <c r="AD43" s="99">
        <f>IF(AD$3&lt;Допущения!$E$4,0,Цены!AM49/1000)</f>
        <v>11.025</v>
      </c>
      <c r="AE43" s="99">
        <f>IF(AE$3&lt;Допущения!$E$4,0,Цены!AN49/1000)</f>
        <v>11.576250000000002</v>
      </c>
      <c r="AF43" s="99">
        <f>IF(AF$3&lt;Допущения!$E$4,0,Цены!AO49/1000)</f>
        <v>11.576250000000002</v>
      </c>
      <c r="AG43" s="99">
        <f>IF(AG$3&lt;Допущения!$E$4,0,Цены!AP49/1000)</f>
        <v>11.576250000000002</v>
      </c>
      <c r="AH43" s="99">
        <f>IF(AH$3&lt;Допущения!$E$4,0,Цены!AQ49/1000)</f>
        <v>11.576250000000002</v>
      </c>
      <c r="AI43" s="99">
        <f>IF(AI$3&lt;Допущения!$E$4,0,Цены!AR49/1000)</f>
        <v>11.576250000000002</v>
      </c>
      <c r="AJ43" s="99">
        <f>IF(AJ$3&lt;Допущения!$E$4,0,Цены!AS49/1000)</f>
        <v>11.576250000000002</v>
      </c>
      <c r="AK43" s="99">
        <f>IF(AK$3&lt;Допущения!$E$4,0,Цены!AT49/1000)</f>
        <v>11.576250000000002</v>
      </c>
      <c r="AL43" s="99">
        <f>IF(AL$3&lt;Допущения!$E$4,0,Цены!AU49/1000)</f>
        <v>11.576250000000002</v>
      </c>
      <c r="AM43" s="99">
        <f>IF(AM$3&lt;Допущения!$E$4,0,Цены!AV49/1000)</f>
        <v>11.576250000000002</v>
      </c>
      <c r="AN43" s="99">
        <f>IF(AN$3&lt;Допущения!$E$4,0,Цены!AW49/1000)</f>
        <v>11.576250000000002</v>
      </c>
      <c r="AO43" s="99">
        <f>IF(AO$3&lt;Допущения!$E$4,0,Цены!AX49/1000)</f>
        <v>11.576250000000002</v>
      </c>
      <c r="AP43" s="99">
        <f>IF(AP$3&lt;Допущения!$E$4,0,Цены!AY49/1000)</f>
        <v>11.576250000000002</v>
      </c>
      <c r="AQ43" s="99">
        <f>IF(AQ$3&lt;Допущения!$E$4,0,Цены!AZ49/1000)</f>
        <v>12.155062500000001</v>
      </c>
      <c r="AR43" s="99">
        <f>IF(AR$3&lt;Допущения!$E$4,0,Цены!BA49/1000)</f>
        <v>12.155062500000001</v>
      </c>
      <c r="AS43" s="99">
        <f>IF(AS$3&lt;Допущения!$E$4,0,Цены!BB49/1000)</f>
        <v>12.155062500000001</v>
      </c>
      <c r="AT43" s="99">
        <f>IF(AT$3&lt;Допущения!$E$4,0,Цены!BC49/1000)</f>
        <v>12.155062500000001</v>
      </c>
      <c r="AU43" s="99">
        <f>IF(AU$3&lt;Допущения!$E$4,0,Цены!BD49/1000)</f>
        <v>12.155062500000001</v>
      </c>
      <c r="AV43" s="99">
        <f>IF(AV$3&lt;Допущения!$E$4,0,Цены!BE49/1000)</f>
        <v>12.155062500000001</v>
      </c>
      <c r="AW43" s="99">
        <f>IF(AW$3&lt;Допущения!$E$4,0,Цены!BF49/1000)</f>
        <v>12.155062500000001</v>
      </c>
      <c r="AX43" s="99">
        <f>IF(AX$3&lt;Допущения!$E$4,0,Цены!BG49/1000)</f>
        <v>12.155062500000001</v>
      </c>
      <c r="AY43" s="99">
        <f>IF(AY$3&lt;Допущения!$E$4,0,Цены!BH49/1000)</f>
        <v>12.155062500000001</v>
      </c>
      <c r="AZ43" s="99">
        <f>IF(AZ$3&lt;Допущения!$E$4,0,Цены!BI49/1000)</f>
        <v>12.155062500000001</v>
      </c>
      <c r="BA43" s="99">
        <f>IF(BA$3&lt;Допущения!$E$4,0,Цены!BJ49/1000)</f>
        <v>12.155062500000001</v>
      </c>
      <c r="BB43" s="99">
        <f>IF(BB$3&lt;Допущения!$E$4,0,Цены!BK49/1000)</f>
        <v>12.155062500000001</v>
      </c>
      <c r="BC43" s="99">
        <f>IF(BC$3&lt;Допущения!$E$4,0,Цены!BL49/1000)</f>
        <v>12.762815625000004</v>
      </c>
      <c r="BD43" s="99">
        <f>IF(BD$3&lt;Допущения!$E$4,0,Цены!BM49/1000)</f>
        <v>12.762815625000004</v>
      </c>
      <c r="BE43" s="99">
        <f>IF(BE$3&lt;Допущения!$E$4,0,Цены!BN49/1000)</f>
        <v>12.762815625000004</v>
      </c>
      <c r="BF43" s="99">
        <f>IF(BF$3&lt;Допущения!$E$4,0,Цены!BO49/1000)</f>
        <v>12.762815625000004</v>
      </c>
      <c r="BG43" s="99">
        <f>IF(BG$3&lt;Допущения!$E$4,0,Цены!BP49/1000)</f>
        <v>12.762815625000004</v>
      </c>
      <c r="BH43" s="99">
        <f>IF(BH$3&lt;Допущения!$E$4,0,Цены!BQ49/1000)</f>
        <v>12.762815625000004</v>
      </c>
      <c r="BI43" s="99">
        <f>IF(BI$3&lt;Допущения!$E$4,0,Цены!BR49/1000)</f>
        <v>12.762815625000004</v>
      </c>
      <c r="BJ43" s="99">
        <f>IF(BJ$3&lt;Допущения!$E$4,0,Цены!BS49/1000)</f>
        <v>12.762815625000004</v>
      </c>
      <c r="BL43" s="247">
        <f t="shared" si="20"/>
        <v>10</v>
      </c>
      <c r="BM43" s="247">
        <f t="shared" si="20"/>
        <v>126</v>
      </c>
      <c r="BN43" s="247">
        <f t="shared" si="20"/>
        <v>132.30000000000004</v>
      </c>
      <c r="BO43" s="247">
        <f t="shared" si="20"/>
        <v>138.91500000000002</v>
      </c>
      <c r="BP43" s="247">
        <f t="shared" si="20"/>
        <v>145.86075000000002</v>
      </c>
      <c r="BQ43" s="247">
        <f t="shared" si="20"/>
        <v>102.10252500000003</v>
      </c>
    </row>
    <row r="44" spans="1:69" ht="15.75" customHeight="1">
      <c r="A44" s="30" t="str">
        <f>Цены!A50</f>
        <v>Канцелярские товары</v>
      </c>
      <c r="B44" s="53" t="s">
        <v>221</v>
      </c>
      <c r="C44" s="99">
        <f>IF(C$3&lt;Допущения!$E$4,0,Цены!L50/1000)</f>
        <v>0</v>
      </c>
      <c r="D44" s="99">
        <f>IF(D$3&lt;Допущения!$E$4,0,Цены!M50/1000)</f>
        <v>0</v>
      </c>
      <c r="E44" s="99">
        <f>IF(E$3&lt;Допущения!$E$4,0,Цены!N50/1000)</f>
        <v>0</v>
      </c>
      <c r="F44" s="99">
        <f>IF(F$3&lt;Допущения!$E$4,0,Цены!O50/1000)</f>
        <v>4.166666666666667</v>
      </c>
      <c r="G44" s="99">
        <f>IF(G$3&lt;Допущения!$E$4,0,Цены!P50/1000)</f>
        <v>4.3750000000000009</v>
      </c>
      <c r="H44" s="99">
        <f>IF(H$3&lt;Допущения!$E$4,0,Цены!Q50/1000)</f>
        <v>4.3750000000000009</v>
      </c>
      <c r="I44" s="99">
        <f>IF(I$3&lt;Допущения!$E$4,0,Цены!R50/1000)</f>
        <v>4.3750000000000009</v>
      </c>
      <c r="J44" s="99">
        <f>IF(J$3&lt;Допущения!$E$4,0,Цены!S50/1000)</f>
        <v>4.3750000000000009</v>
      </c>
      <c r="K44" s="99">
        <f>IF(K$3&lt;Допущения!$E$4,0,Цены!T50/1000)</f>
        <v>4.3750000000000009</v>
      </c>
      <c r="L44" s="99">
        <f>IF(L$3&lt;Допущения!$E$4,0,Цены!U50/1000)</f>
        <v>4.3750000000000009</v>
      </c>
      <c r="M44" s="99">
        <f>IF(M$3&lt;Допущения!$E$4,0,Цены!V50/1000)</f>
        <v>4.3750000000000009</v>
      </c>
      <c r="N44" s="99">
        <f>IF(N$3&lt;Допущения!$E$4,0,Цены!W50/1000)</f>
        <v>4.3750000000000009</v>
      </c>
      <c r="O44" s="99">
        <f>IF(O$3&lt;Допущения!$E$4,0,Цены!X50/1000)</f>
        <v>4.3750000000000009</v>
      </c>
      <c r="P44" s="99">
        <f>IF(P$3&lt;Допущения!$E$4,0,Цены!Y50/1000)</f>
        <v>4.3750000000000009</v>
      </c>
      <c r="Q44" s="99">
        <f>IF(Q$3&lt;Допущения!$E$4,0,Цены!Z50/1000)</f>
        <v>4.3750000000000009</v>
      </c>
      <c r="R44" s="99">
        <f>IF(R$3&lt;Допущения!$E$4,0,Цены!AA50/1000)</f>
        <v>4.3750000000000009</v>
      </c>
      <c r="S44" s="99">
        <f>IF(S$3&lt;Допущения!$E$4,0,Цены!AB50/1000)</f>
        <v>4.5937500000000009</v>
      </c>
      <c r="T44" s="99">
        <f>IF(T$3&lt;Допущения!$E$4,0,Цены!AC50/1000)</f>
        <v>4.5937500000000009</v>
      </c>
      <c r="U44" s="99">
        <f>IF(U$3&lt;Допущения!$E$4,0,Цены!AD50/1000)</f>
        <v>4.5937500000000009</v>
      </c>
      <c r="V44" s="99">
        <f>IF(V$3&lt;Допущения!$E$4,0,Цены!AE50/1000)</f>
        <v>4.5937500000000009</v>
      </c>
      <c r="W44" s="99">
        <f>IF(W$3&lt;Допущения!$E$4,0,Цены!AF50/1000)</f>
        <v>4.5937500000000009</v>
      </c>
      <c r="X44" s="99">
        <f>IF(X$3&lt;Допущения!$E$4,0,Цены!AG50/1000)</f>
        <v>4.5937500000000009</v>
      </c>
      <c r="Y44" s="99">
        <f>IF(Y$3&lt;Допущения!$E$4,0,Цены!AH50/1000)</f>
        <v>4.5937500000000009</v>
      </c>
      <c r="Z44" s="99">
        <f>IF(Z$3&lt;Допущения!$E$4,0,Цены!AI50/1000)</f>
        <v>4.5937500000000009</v>
      </c>
      <c r="AA44" s="99">
        <f>IF(AA$3&lt;Допущения!$E$4,0,Цены!AJ50/1000)</f>
        <v>4.5937500000000009</v>
      </c>
      <c r="AB44" s="99">
        <f>IF(AB$3&lt;Допущения!$E$4,0,Цены!AK50/1000)</f>
        <v>4.5937500000000009</v>
      </c>
      <c r="AC44" s="99">
        <f>IF(AC$3&lt;Допущения!$E$4,0,Цены!AL50/1000)</f>
        <v>4.5937500000000009</v>
      </c>
      <c r="AD44" s="99">
        <f>IF(AD$3&lt;Допущения!$E$4,0,Цены!AM50/1000)</f>
        <v>4.5937500000000009</v>
      </c>
      <c r="AE44" s="99">
        <f>IF(AE$3&lt;Допущения!$E$4,0,Цены!AN50/1000)</f>
        <v>4.8234375000000007</v>
      </c>
      <c r="AF44" s="99">
        <f>IF(AF$3&lt;Допущения!$E$4,0,Цены!AO50/1000)</f>
        <v>4.8234375000000007</v>
      </c>
      <c r="AG44" s="99">
        <f>IF(AG$3&lt;Допущения!$E$4,0,Цены!AP50/1000)</f>
        <v>4.8234375000000007</v>
      </c>
      <c r="AH44" s="99">
        <f>IF(AH$3&lt;Допущения!$E$4,0,Цены!AQ50/1000)</f>
        <v>4.8234375000000007</v>
      </c>
      <c r="AI44" s="99">
        <f>IF(AI$3&lt;Допущения!$E$4,0,Цены!AR50/1000)</f>
        <v>4.8234375000000007</v>
      </c>
      <c r="AJ44" s="99">
        <f>IF(AJ$3&lt;Допущения!$E$4,0,Цены!AS50/1000)</f>
        <v>4.8234375000000007</v>
      </c>
      <c r="AK44" s="99">
        <f>IF(AK$3&lt;Допущения!$E$4,0,Цены!AT50/1000)</f>
        <v>4.8234375000000007</v>
      </c>
      <c r="AL44" s="99">
        <f>IF(AL$3&lt;Допущения!$E$4,0,Цены!AU50/1000)</f>
        <v>4.8234375000000007</v>
      </c>
      <c r="AM44" s="99">
        <f>IF(AM$3&lt;Допущения!$E$4,0,Цены!AV50/1000)</f>
        <v>4.8234375000000007</v>
      </c>
      <c r="AN44" s="99">
        <f>IF(AN$3&lt;Допущения!$E$4,0,Цены!AW50/1000)</f>
        <v>4.8234375000000007</v>
      </c>
      <c r="AO44" s="99">
        <f>IF(AO$3&lt;Допущения!$E$4,0,Цены!AX50/1000)</f>
        <v>4.8234375000000007</v>
      </c>
      <c r="AP44" s="99">
        <f>IF(AP$3&lt;Допущения!$E$4,0,Цены!AY50/1000)</f>
        <v>4.8234375000000007</v>
      </c>
      <c r="AQ44" s="99">
        <f>IF(AQ$3&lt;Допущения!$E$4,0,Цены!AZ50/1000)</f>
        <v>5.0646093750000007</v>
      </c>
      <c r="AR44" s="99">
        <f>IF(AR$3&lt;Допущения!$E$4,0,Цены!BA50/1000)</f>
        <v>5.0646093750000007</v>
      </c>
      <c r="AS44" s="99">
        <f>IF(AS$3&lt;Допущения!$E$4,0,Цены!BB50/1000)</f>
        <v>5.0646093750000007</v>
      </c>
      <c r="AT44" s="99">
        <f>IF(AT$3&lt;Допущения!$E$4,0,Цены!BC50/1000)</f>
        <v>5.0646093750000007</v>
      </c>
      <c r="AU44" s="99">
        <f>IF(AU$3&lt;Допущения!$E$4,0,Цены!BD50/1000)</f>
        <v>5.0646093750000007</v>
      </c>
      <c r="AV44" s="99">
        <f>IF(AV$3&lt;Допущения!$E$4,0,Цены!BE50/1000)</f>
        <v>5.0646093750000007</v>
      </c>
      <c r="AW44" s="99">
        <f>IF(AW$3&lt;Допущения!$E$4,0,Цены!BF50/1000)</f>
        <v>5.0646093750000007</v>
      </c>
      <c r="AX44" s="99">
        <f>IF(AX$3&lt;Допущения!$E$4,0,Цены!BG50/1000)</f>
        <v>5.0646093750000007</v>
      </c>
      <c r="AY44" s="99">
        <f>IF(AY$3&lt;Допущения!$E$4,0,Цены!BH50/1000)</f>
        <v>5.0646093750000007</v>
      </c>
      <c r="AZ44" s="99">
        <f>IF(AZ$3&lt;Допущения!$E$4,0,Цены!BI50/1000)</f>
        <v>5.0646093750000007</v>
      </c>
      <c r="BA44" s="99">
        <f>IF(BA$3&lt;Допущения!$E$4,0,Цены!BJ50/1000)</f>
        <v>5.0646093750000007</v>
      </c>
      <c r="BB44" s="99">
        <f>IF(BB$3&lt;Допущения!$E$4,0,Цены!BK50/1000)</f>
        <v>5.0646093750000007</v>
      </c>
      <c r="BC44" s="99">
        <f>IF(BC$3&lt;Допущения!$E$4,0,Цены!BL50/1000)</f>
        <v>5.3178398437500016</v>
      </c>
      <c r="BD44" s="99">
        <f>IF(BD$3&lt;Допущения!$E$4,0,Цены!BM50/1000)</f>
        <v>5.3178398437500016</v>
      </c>
      <c r="BE44" s="99">
        <f>IF(BE$3&lt;Допущения!$E$4,0,Цены!BN50/1000)</f>
        <v>5.3178398437500016</v>
      </c>
      <c r="BF44" s="99">
        <f>IF(BF$3&lt;Допущения!$E$4,0,Цены!BO50/1000)</f>
        <v>5.3178398437500016</v>
      </c>
      <c r="BG44" s="99">
        <f>IF(BG$3&lt;Допущения!$E$4,0,Цены!BP50/1000)</f>
        <v>5.3178398437500016</v>
      </c>
      <c r="BH44" s="99">
        <f>IF(BH$3&lt;Допущения!$E$4,0,Цены!BQ50/1000)</f>
        <v>5.3178398437500016</v>
      </c>
      <c r="BI44" s="99">
        <f>IF(BI$3&lt;Допущения!$E$4,0,Цены!BR50/1000)</f>
        <v>5.3178398437500016</v>
      </c>
      <c r="BJ44" s="99">
        <f>IF(BJ$3&lt;Допущения!$E$4,0,Цены!BS50/1000)</f>
        <v>5.3178398437500016</v>
      </c>
      <c r="BL44" s="247">
        <f t="shared" si="20"/>
        <v>4.166666666666667</v>
      </c>
      <c r="BM44" s="247">
        <f t="shared" si="20"/>
        <v>52.500000000000007</v>
      </c>
      <c r="BN44" s="247">
        <f t="shared" si="20"/>
        <v>55.125000000000007</v>
      </c>
      <c r="BO44" s="247">
        <f t="shared" si="20"/>
        <v>57.881249999999994</v>
      </c>
      <c r="BP44" s="247">
        <f t="shared" si="20"/>
        <v>60.77531250000002</v>
      </c>
      <c r="BQ44" s="247">
        <f t="shared" si="20"/>
        <v>42.542718750000013</v>
      </c>
    </row>
    <row r="45" spans="1:69" ht="15.75" customHeight="1">
      <c r="A45" s="30" t="str">
        <f>Цены!A51</f>
        <v>Расходы на поддержку сайта</v>
      </c>
      <c r="B45" s="53" t="s">
        <v>221</v>
      </c>
      <c r="C45" s="99">
        <f>IF(C$3&lt;Допущения!$E$4,0,Цены!L51/1000)</f>
        <v>0</v>
      </c>
      <c r="D45" s="99">
        <f>IF(D$3&lt;Допущения!$E$4,0,Цены!M51/1000)</f>
        <v>0</v>
      </c>
      <c r="E45" s="99">
        <f>IF(E$3&lt;Допущения!$E$4,0,Цены!N51/1000)</f>
        <v>0</v>
      </c>
      <c r="F45" s="99">
        <f>IF(F$3&lt;Допущения!$E$4,0,Цены!O51/1000)</f>
        <v>1.25</v>
      </c>
      <c r="G45" s="99">
        <f>IF(G$3&lt;Допущения!$E$4,0,Цены!P51/1000)</f>
        <v>1.3125</v>
      </c>
      <c r="H45" s="99">
        <f>IF(H$3&lt;Допущения!$E$4,0,Цены!Q51/1000)</f>
        <v>1.3125</v>
      </c>
      <c r="I45" s="99">
        <f>IF(I$3&lt;Допущения!$E$4,0,Цены!R51/1000)</f>
        <v>1.3125</v>
      </c>
      <c r="J45" s="99">
        <f>IF(J$3&lt;Допущения!$E$4,0,Цены!S51/1000)</f>
        <v>1.3125</v>
      </c>
      <c r="K45" s="99">
        <f>IF(K$3&lt;Допущения!$E$4,0,Цены!T51/1000)</f>
        <v>1.3125</v>
      </c>
      <c r="L45" s="99">
        <f>IF(L$3&lt;Допущения!$E$4,0,Цены!U51/1000)</f>
        <v>1.3125</v>
      </c>
      <c r="M45" s="99">
        <f>IF(M$3&lt;Допущения!$E$4,0,Цены!V51/1000)</f>
        <v>1.3125</v>
      </c>
      <c r="N45" s="99">
        <f>IF(N$3&lt;Допущения!$E$4,0,Цены!W51/1000)</f>
        <v>1.3125</v>
      </c>
      <c r="O45" s="99">
        <f>IF(O$3&lt;Допущения!$E$4,0,Цены!X51/1000)</f>
        <v>1.3125</v>
      </c>
      <c r="P45" s="99">
        <f>IF(P$3&lt;Допущения!$E$4,0,Цены!Y51/1000)</f>
        <v>1.3125</v>
      </c>
      <c r="Q45" s="99">
        <f>IF(Q$3&lt;Допущения!$E$4,0,Цены!Z51/1000)</f>
        <v>1.3125</v>
      </c>
      <c r="R45" s="99">
        <f>IF(R$3&lt;Допущения!$E$4,0,Цены!AA51/1000)</f>
        <v>1.3125</v>
      </c>
      <c r="S45" s="99">
        <f>IF(S$3&lt;Допущения!$E$4,0,Цены!AB51/1000)</f>
        <v>1.378125</v>
      </c>
      <c r="T45" s="99">
        <f>IF(T$3&lt;Допущения!$E$4,0,Цены!AC51/1000)</f>
        <v>1.378125</v>
      </c>
      <c r="U45" s="99">
        <f>IF(U$3&lt;Допущения!$E$4,0,Цены!AD51/1000)</f>
        <v>1.378125</v>
      </c>
      <c r="V45" s="99">
        <f>IF(V$3&lt;Допущения!$E$4,0,Цены!AE51/1000)</f>
        <v>1.378125</v>
      </c>
      <c r="W45" s="99">
        <f>IF(W$3&lt;Допущения!$E$4,0,Цены!AF51/1000)</f>
        <v>1.378125</v>
      </c>
      <c r="X45" s="99">
        <f>IF(X$3&lt;Допущения!$E$4,0,Цены!AG51/1000)</f>
        <v>1.378125</v>
      </c>
      <c r="Y45" s="99">
        <f>IF(Y$3&lt;Допущения!$E$4,0,Цены!AH51/1000)</f>
        <v>1.378125</v>
      </c>
      <c r="Z45" s="99">
        <f>IF(Z$3&lt;Допущения!$E$4,0,Цены!AI51/1000)</f>
        <v>1.378125</v>
      </c>
      <c r="AA45" s="99">
        <f>IF(AA$3&lt;Допущения!$E$4,0,Цены!AJ51/1000)</f>
        <v>1.378125</v>
      </c>
      <c r="AB45" s="99">
        <f>IF(AB$3&lt;Допущения!$E$4,0,Цены!AK51/1000)</f>
        <v>1.378125</v>
      </c>
      <c r="AC45" s="99">
        <f>IF(AC$3&lt;Допущения!$E$4,0,Цены!AL51/1000)</f>
        <v>1.378125</v>
      </c>
      <c r="AD45" s="99">
        <f>IF(AD$3&lt;Допущения!$E$4,0,Цены!AM51/1000)</f>
        <v>1.378125</v>
      </c>
      <c r="AE45" s="99">
        <f>IF(AE$3&lt;Допущения!$E$4,0,Цены!AN51/1000)</f>
        <v>1.4470312500000002</v>
      </c>
      <c r="AF45" s="99">
        <f>IF(AF$3&lt;Допущения!$E$4,0,Цены!AO51/1000)</f>
        <v>1.4470312500000002</v>
      </c>
      <c r="AG45" s="99">
        <f>IF(AG$3&lt;Допущения!$E$4,0,Цены!AP51/1000)</f>
        <v>1.4470312500000002</v>
      </c>
      <c r="AH45" s="99">
        <f>IF(AH$3&lt;Допущения!$E$4,0,Цены!AQ51/1000)</f>
        <v>1.4470312500000002</v>
      </c>
      <c r="AI45" s="99">
        <f>IF(AI$3&lt;Допущения!$E$4,0,Цены!AR51/1000)</f>
        <v>1.4470312500000002</v>
      </c>
      <c r="AJ45" s="99">
        <f>IF(AJ$3&lt;Допущения!$E$4,0,Цены!AS51/1000)</f>
        <v>1.4470312500000002</v>
      </c>
      <c r="AK45" s="99">
        <f>IF(AK$3&lt;Допущения!$E$4,0,Цены!AT51/1000)</f>
        <v>1.4470312500000002</v>
      </c>
      <c r="AL45" s="99">
        <f>IF(AL$3&lt;Допущения!$E$4,0,Цены!AU51/1000)</f>
        <v>1.4470312500000002</v>
      </c>
      <c r="AM45" s="99">
        <f>IF(AM$3&lt;Допущения!$E$4,0,Цены!AV51/1000)</f>
        <v>1.4470312500000002</v>
      </c>
      <c r="AN45" s="99">
        <f>IF(AN$3&lt;Допущения!$E$4,0,Цены!AW51/1000)</f>
        <v>1.4470312500000002</v>
      </c>
      <c r="AO45" s="99">
        <f>IF(AO$3&lt;Допущения!$E$4,0,Цены!AX51/1000)</f>
        <v>1.4470312500000002</v>
      </c>
      <c r="AP45" s="99">
        <f>IF(AP$3&lt;Допущения!$E$4,0,Цены!AY51/1000)</f>
        <v>1.4470312500000002</v>
      </c>
      <c r="AQ45" s="99">
        <f>IF(AQ$3&lt;Допущения!$E$4,0,Цены!AZ51/1000)</f>
        <v>1.5193828125000002</v>
      </c>
      <c r="AR45" s="99">
        <f>IF(AR$3&lt;Допущения!$E$4,0,Цены!BA51/1000)</f>
        <v>1.5193828125000002</v>
      </c>
      <c r="AS45" s="99">
        <f>IF(AS$3&lt;Допущения!$E$4,0,Цены!BB51/1000)</f>
        <v>1.5193828125000002</v>
      </c>
      <c r="AT45" s="99">
        <f>IF(AT$3&lt;Допущения!$E$4,0,Цены!BC51/1000)</f>
        <v>1.5193828125000002</v>
      </c>
      <c r="AU45" s="99">
        <f>IF(AU$3&lt;Допущения!$E$4,0,Цены!BD51/1000)</f>
        <v>1.5193828125000002</v>
      </c>
      <c r="AV45" s="99">
        <f>IF(AV$3&lt;Допущения!$E$4,0,Цены!BE51/1000)</f>
        <v>1.5193828125000002</v>
      </c>
      <c r="AW45" s="99">
        <f>IF(AW$3&lt;Допущения!$E$4,0,Цены!BF51/1000)</f>
        <v>1.5193828125000002</v>
      </c>
      <c r="AX45" s="99">
        <f>IF(AX$3&lt;Допущения!$E$4,0,Цены!BG51/1000)</f>
        <v>1.5193828125000002</v>
      </c>
      <c r="AY45" s="99">
        <f>IF(AY$3&lt;Допущения!$E$4,0,Цены!BH51/1000)</f>
        <v>1.5193828125000002</v>
      </c>
      <c r="AZ45" s="99">
        <f>IF(AZ$3&lt;Допущения!$E$4,0,Цены!BI51/1000)</f>
        <v>1.5193828125000002</v>
      </c>
      <c r="BA45" s="99">
        <f>IF(BA$3&lt;Допущения!$E$4,0,Цены!BJ51/1000)</f>
        <v>1.5193828125000002</v>
      </c>
      <c r="BB45" s="99">
        <f>IF(BB$3&lt;Допущения!$E$4,0,Цены!BK51/1000)</f>
        <v>1.5193828125000002</v>
      </c>
      <c r="BC45" s="99">
        <f>IF(BC$3&lt;Допущения!$E$4,0,Цены!BL51/1000)</f>
        <v>1.5953519531250004</v>
      </c>
      <c r="BD45" s="99">
        <f>IF(BD$3&lt;Допущения!$E$4,0,Цены!BM51/1000)</f>
        <v>1.5953519531250004</v>
      </c>
      <c r="BE45" s="99">
        <f>IF(BE$3&lt;Допущения!$E$4,0,Цены!BN51/1000)</f>
        <v>1.5953519531250004</v>
      </c>
      <c r="BF45" s="99">
        <f>IF(BF$3&lt;Допущения!$E$4,0,Цены!BO51/1000)</f>
        <v>1.5953519531250004</v>
      </c>
      <c r="BG45" s="99">
        <f>IF(BG$3&lt;Допущения!$E$4,0,Цены!BP51/1000)</f>
        <v>1.5953519531250004</v>
      </c>
      <c r="BH45" s="99">
        <f>IF(BH$3&lt;Допущения!$E$4,0,Цены!BQ51/1000)</f>
        <v>1.5953519531250004</v>
      </c>
      <c r="BI45" s="99">
        <f>IF(BI$3&lt;Допущения!$E$4,0,Цены!BR51/1000)</f>
        <v>1.5953519531250004</v>
      </c>
      <c r="BJ45" s="99">
        <f>IF(BJ$3&lt;Допущения!$E$4,0,Цены!BS51/1000)</f>
        <v>1.5953519531250004</v>
      </c>
      <c r="BL45" s="247">
        <f t="shared" si="20"/>
        <v>1.25</v>
      </c>
      <c r="BM45" s="247">
        <f t="shared" si="20"/>
        <v>15.75</v>
      </c>
      <c r="BN45" s="247">
        <f t="shared" si="20"/>
        <v>16.537500000000005</v>
      </c>
      <c r="BO45" s="247">
        <f t="shared" si="20"/>
        <v>17.364375000000003</v>
      </c>
      <c r="BP45" s="247">
        <f t="shared" si="20"/>
        <v>18.232593750000003</v>
      </c>
      <c r="BQ45" s="247">
        <f t="shared" si="20"/>
        <v>12.762815625000004</v>
      </c>
    </row>
    <row r="46" spans="1:69" ht="15.75" customHeight="1">
      <c r="A46" s="30" t="str">
        <f>Цены!A52</f>
        <v>-</v>
      </c>
      <c r="B46" s="53" t="s">
        <v>221</v>
      </c>
      <c r="C46" s="99">
        <f>IF(C$3&lt;Допущения!$E$4,0,Цены!L52/1000)</f>
        <v>0</v>
      </c>
      <c r="D46" s="99">
        <f>IF(D$3&lt;Допущения!$E$4,0,Цены!M52/1000)</f>
        <v>0</v>
      </c>
      <c r="E46" s="99">
        <f>IF(E$3&lt;Допущения!$E$4,0,Цены!N52/1000)</f>
        <v>0</v>
      </c>
      <c r="F46" s="99">
        <f>IF(F$3&lt;Допущения!$E$4,0,Цены!O52/1000)</f>
        <v>0</v>
      </c>
      <c r="G46" s="99">
        <f>IF(G$3&lt;Допущения!$E$4,0,Цены!P52/1000)</f>
        <v>0</v>
      </c>
      <c r="H46" s="99">
        <f>IF(H$3&lt;Допущения!$E$4,0,Цены!Q52/1000)</f>
        <v>0</v>
      </c>
      <c r="I46" s="99">
        <f>IF(I$3&lt;Допущения!$E$4,0,Цены!R52/1000)</f>
        <v>0</v>
      </c>
      <c r="J46" s="99">
        <f>IF(J$3&lt;Допущения!$E$4,0,Цены!S52/1000)</f>
        <v>0</v>
      </c>
      <c r="K46" s="99">
        <f>IF(K$3&lt;Допущения!$E$4,0,Цены!T52/1000)</f>
        <v>0</v>
      </c>
      <c r="L46" s="99">
        <f>IF(L$3&lt;Допущения!$E$4,0,Цены!U52/1000)</f>
        <v>0</v>
      </c>
      <c r="M46" s="99">
        <f>IF(M$3&lt;Допущения!$E$4,0,Цены!V52/1000)</f>
        <v>0</v>
      </c>
      <c r="N46" s="99">
        <f>IF(N$3&lt;Допущения!$E$4,0,Цены!W52/1000)</f>
        <v>0</v>
      </c>
      <c r="O46" s="99">
        <f>IF(O$3&lt;Допущения!$E$4,0,Цены!X52/1000)</f>
        <v>0</v>
      </c>
      <c r="P46" s="99">
        <f>IF(P$3&lt;Допущения!$E$4,0,Цены!Y52/1000)</f>
        <v>0</v>
      </c>
      <c r="Q46" s="99">
        <f>IF(Q$3&lt;Допущения!$E$4,0,Цены!Z52/1000)</f>
        <v>0</v>
      </c>
      <c r="R46" s="99">
        <f>IF(R$3&lt;Допущения!$E$4,0,Цены!AA52/1000)</f>
        <v>0</v>
      </c>
      <c r="S46" s="99">
        <f>IF(S$3&lt;Допущения!$E$4,0,Цены!AB52/1000)</f>
        <v>0</v>
      </c>
      <c r="T46" s="99">
        <f>IF(T$3&lt;Допущения!$E$4,0,Цены!AC52/1000)</f>
        <v>0</v>
      </c>
      <c r="U46" s="99">
        <f>IF(U$3&lt;Допущения!$E$4,0,Цены!AD52/1000)</f>
        <v>0</v>
      </c>
      <c r="V46" s="99">
        <f>IF(V$3&lt;Допущения!$E$4,0,Цены!AE52/1000)</f>
        <v>0</v>
      </c>
      <c r="W46" s="99">
        <f>IF(W$3&lt;Допущения!$E$4,0,Цены!AF52/1000)</f>
        <v>0</v>
      </c>
      <c r="X46" s="99">
        <f>IF(X$3&lt;Допущения!$E$4,0,Цены!AG52/1000)</f>
        <v>0</v>
      </c>
      <c r="Y46" s="99">
        <f>IF(Y$3&lt;Допущения!$E$4,0,Цены!AH52/1000)</f>
        <v>0</v>
      </c>
      <c r="Z46" s="99">
        <f>IF(Z$3&lt;Допущения!$E$4,0,Цены!AI52/1000)</f>
        <v>0</v>
      </c>
      <c r="AA46" s="99">
        <f>IF(AA$3&lt;Допущения!$E$4,0,Цены!AJ52/1000)</f>
        <v>0</v>
      </c>
      <c r="AB46" s="99">
        <f>IF(AB$3&lt;Допущения!$E$4,0,Цены!AK52/1000)</f>
        <v>0</v>
      </c>
      <c r="AC46" s="99">
        <f>IF(AC$3&lt;Допущения!$E$4,0,Цены!AL52/1000)</f>
        <v>0</v>
      </c>
      <c r="AD46" s="99">
        <f>IF(AD$3&lt;Допущения!$E$4,0,Цены!AM52/1000)</f>
        <v>0</v>
      </c>
      <c r="AE46" s="99">
        <f>IF(AE$3&lt;Допущения!$E$4,0,Цены!AN52/1000)</f>
        <v>0</v>
      </c>
      <c r="AF46" s="99">
        <f>IF(AF$3&lt;Допущения!$E$4,0,Цены!AO52/1000)</f>
        <v>0</v>
      </c>
      <c r="AG46" s="99">
        <f>IF(AG$3&lt;Допущения!$E$4,0,Цены!AP52/1000)</f>
        <v>0</v>
      </c>
      <c r="AH46" s="99">
        <f>IF(AH$3&lt;Допущения!$E$4,0,Цены!AQ52/1000)</f>
        <v>0</v>
      </c>
      <c r="AI46" s="99">
        <f>IF(AI$3&lt;Допущения!$E$4,0,Цены!AR52/1000)</f>
        <v>0</v>
      </c>
      <c r="AJ46" s="99">
        <f>IF(AJ$3&lt;Допущения!$E$4,0,Цены!AS52/1000)</f>
        <v>0</v>
      </c>
      <c r="AK46" s="99">
        <f>IF(AK$3&lt;Допущения!$E$4,0,Цены!AT52/1000)</f>
        <v>0</v>
      </c>
      <c r="AL46" s="99">
        <f>IF(AL$3&lt;Допущения!$E$4,0,Цены!AU52/1000)</f>
        <v>0</v>
      </c>
      <c r="AM46" s="99">
        <f>IF(AM$3&lt;Допущения!$E$4,0,Цены!AV52/1000)</f>
        <v>0</v>
      </c>
      <c r="AN46" s="99">
        <f>IF(AN$3&lt;Допущения!$E$4,0,Цены!AW52/1000)</f>
        <v>0</v>
      </c>
      <c r="AO46" s="99">
        <f>IF(AO$3&lt;Допущения!$E$4,0,Цены!AX52/1000)</f>
        <v>0</v>
      </c>
      <c r="AP46" s="99">
        <f>IF(AP$3&lt;Допущения!$E$4,0,Цены!AY52/1000)</f>
        <v>0</v>
      </c>
      <c r="AQ46" s="99">
        <f>IF(AQ$3&lt;Допущения!$E$4,0,Цены!AZ52/1000)</f>
        <v>0</v>
      </c>
      <c r="AR46" s="99">
        <f>IF(AR$3&lt;Допущения!$E$4,0,Цены!BA52/1000)</f>
        <v>0</v>
      </c>
      <c r="AS46" s="99">
        <f>IF(AS$3&lt;Допущения!$E$4,0,Цены!BB52/1000)</f>
        <v>0</v>
      </c>
      <c r="AT46" s="99">
        <f>IF(AT$3&lt;Допущения!$E$4,0,Цены!BC52/1000)</f>
        <v>0</v>
      </c>
      <c r="AU46" s="99">
        <f>IF(AU$3&lt;Допущения!$E$4,0,Цены!BD52/1000)</f>
        <v>0</v>
      </c>
      <c r="AV46" s="99">
        <f>IF(AV$3&lt;Допущения!$E$4,0,Цены!BE52/1000)</f>
        <v>0</v>
      </c>
      <c r="AW46" s="99">
        <f>IF(AW$3&lt;Допущения!$E$4,0,Цены!BF52/1000)</f>
        <v>0</v>
      </c>
      <c r="AX46" s="99">
        <f>IF(AX$3&lt;Допущения!$E$4,0,Цены!BG52/1000)</f>
        <v>0</v>
      </c>
      <c r="AY46" s="99">
        <f>IF(AY$3&lt;Допущения!$E$4,0,Цены!BH52/1000)</f>
        <v>0</v>
      </c>
      <c r="AZ46" s="99">
        <f>IF(AZ$3&lt;Допущения!$E$4,0,Цены!BI52/1000)</f>
        <v>0</v>
      </c>
      <c r="BA46" s="99">
        <f>IF(BA$3&lt;Допущения!$E$4,0,Цены!BJ52/1000)</f>
        <v>0</v>
      </c>
      <c r="BB46" s="99">
        <f>IF(BB$3&lt;Допущения!$E$4,0,Цены!BK52/1000)</f>
        <v>0</v>
      </c>
      <c r="BC46" s="99">
        <f>IF(BC$3&lt;Допущения!$E$4,0,Цены!BL52/1000)</f>
        <v>0</v>
      </c>
      <c r="BD46" s="99">
        <f>IF(BD$3&lt;Допущения!$E$4,0,Цены!BM52/1000)</f>
        <v>0</v>
      </c>
      <c r="BE46" s="99">
        <f>IF(BE$3&lt;Допущения!$E$4,0,Цены!BN52/1000)</f>
        <v>0</v>
      </c>
      <c r="BF46" s="99">
        <f>IF(BF$3&lt;Допущения!$E$4,0,Цены!BO52/1000)</f>
        <v>0</v>
      </c>
      <c r="BG46" s="99">
        <f>IF(BG$3&lt;Допущения!$E$4,0,Цены!BP52/1000)</f>
        <v>0</v>
      </c>
      <c r="BH46" s="99">
        <f>IF(BH$3&lt;Допущения!$E$4,0,Цены!BQ52/1000)</f>
        <v>0</v>
      </c>
      <c r="BI46" s="99">
        <f>IF(BI$3&lt;Допущения!$E$4,0,Цены!BR52/1000)</f>
        <v>0</v>
      </c>
      <c r="BJ46" s="99">
        <f>IF(BJ$3&lt;Допущения!$E$4,0,Цены!BS52/1000)</f>
        <v>0</v>
      </c>
      <c r="BL46" s="247">
        <f t="shared" si="20"/>
        <v>0</v>
      </c>
      <c r="BM46" s="247">
        <f t="shared" si="20"/>
        <v>0</v>
      </c>
      <c r="BN46" s="247">
        <f t="shared" si="20"/>
        <v>0</v>
      </c>
      <c r="BO46" s="247">
        <f t="shared" si="20"/>
        <v>0</v>
      </c>
      <c r="BP46" s="247">
        <f t="shared" si="20"/>
        <v>0</v>
      </c>
      <c r="BQ46" s="247">
        <f t="shared" si="20"/>
        <v>0</v>
      </c>
    </row>
    <row r="47" spans="1:69" ht="15.75" customHeight="1">
      <c r="A47" s="30" t="str">
        <f>Цены!A53</f>
        <v>-</v>
      </c>
      <c r="B47" s="53" t="s">
        <v>221</v>
      </c>
      <c r="C47" s="99">
        <f>IF(C$3&lt;Допущения!$E$4,0,Цены!L53/1000)</f>
        <v>0</v>
      </c>
      <c r="D47" s="99">
        <f>IF(D$3&lt;Допущения!$E$4,0,Цены!M53/1000)</f>
        <v>0</v>
      </c>
      <c r="E47" s="99">
        <f>IF(E$3&lt;Допущения!$E$4,0,Цены!N53/1000)</f>
        <v>0</v>
      </c>
      <c r="F47" s="99">
        <f>IF(F$3&lt;Допущения!$E$4,0,Цены!O53/1000)</f>
        <v>0</v>
      </c>
      <c r="G47" s="99">
        <f>IF(G$3&lt;Допущения!$E$4,0,Цены!P53/1000)</f>
        <v>0</v>
      </c>
      <c r="H47" s="99">
        <f>IF(H$3&lt;Допущения!$E$4,0,Цены!Q53/1000)</f>
        <v>0</v>
      </c>
      <c r="I47" s="99">
        <f>IF(I$3&lt;Допущения!$E$4,0,Цены!R53/1000)</f>
        <v>0</v>
      </c>
      <c r="J47" s="99">
        <f>IF(J$3&lt;Допущения!$E$4,0,Цены!S53/1000)</f>
        <v>0</v>
      </c>
      <c r="K47" s="99">
        <f>IF(K$3&lt;Допущения!$E$4,0,Цены!T53/1000)</f>
        <v>0</v>
      </c>
      <c r="L47" s="99">
        <f>IF(L$3&lt;Допущения!$E$4,0,Цены!U53/1000)</f>
        <v>0</v>
      </c>
      <c r="M47" s="99">
        <f>IF(M$3&lt;Допущения!$E$4,0,Цены!V53/1000)</f>
        <v>0</v>
      </c>
      <c r="N47" s="99">
        <f>IF(N$3&lt;Допущения!$E$4,0,Цены!W53/1000)</f>
        <v>0</v>
      </c>
      <c r="O47" s="99">
        <f>IF(O$3&lt;Допущения!$E$4,0,Цены!X53/1000)</f>
        <v>0</v>
      </c>
      <c r="P47" s="99">
        <f>IF(P$3&lt;Допущения!$E$4,0,Цены!Y53/1000)</f>
        <v>0</v>
      </c>
      <c r="Q47" s="99">
        <f>IF(Q$3&lt;Допущения!$E$4,0,Цены!Z53/1000)</f>
        <v>0</v>
      </c>
      <c r="R47" s="99">
        <f>IF(R$3&lt;Допущения!$E$4,0,Цены!AA53/1000)</f>
        <v>0</v>
      </c>
      <c r="S47" s="99">
        <f>IF(S$3&lt;Допущения!$E$4,0,Цены!AB53/1000)</f>
        <v>0</v>
      </c>
      <c r="T47" s="99">
        <f>IF(T$3&lt;Допущения!$E$4,0,Цены!AC53/1000)</f>
        <v>0</v>
      </c>
      <c r="U47" s="99">
        <f>IF(U$3&lt;Допущения!$E$4,0,Цены!AD53/1000)</f>
        <v>0</v>
      </c>
      <c r="V47" s="99">
        <f>IF(V$3&lt;Допущения!$E$4,0,Цены!AE53/1000)</f>
        <v>0</v>
      </c>
      <c r="W47" s="99">
        <f>IF(W$3&lt;Допущения!$E$4,0,Цены!AF53/1000)</f>
        <v>0</v>
      </c>
      <c r="X47" s="99">
        <f>IF(X$3&lt;Допущения!$E$4,0,Цены!AG53/1000)</f>
        <v>0</v>
      </c>
      <c r="Y47" s="99">
        <f>IF(Y$3&lt;Допущения!$E$4,0,Цены!AH53/1000)</f>
        <v>0</v>
      </c>
      <c r="Z47" s="99">
        <f>IF(Z$3&lt;Допущения!$E$4,0,Цены!AI53/1000)</f>
        <v>0</v>
      </c>
      <c r="AA47" s="99">
        <f>IF(AA$3&lt;Допущения!$E$4,0,Цены!AJ53/1000)</f>
        <v>0</v>
      </c>
      <c r="AB47" s="99">
        <f>IF(AB$3&lt;Допущения!$E$4,0,Цены!AK53/1000)</f>
        <v>0</v>
      </c>
      <c r="AC47" s="99">
        <f>IF(AC$3&lt;Допущения!$E$4,0,Цены!AL53/1000)</f>
        <v>0</v>
      </c>
      <c r="AD47" s="99">
        <f>IF(AD$3&lt;Допущения!$E$4,0,Цены!AM53/1000)</f>
        <v>0</v>
      </c>
      <c r="AE47" s="99">
        <f>IF(AE$3&lt;Допущения!$E$4,0,Цены!AN53/1000)</f>
        <v>0</v>
      </c>
      <c r="AF47" s="99">
        <f>IF(AF$3&lt;Допущения!$E$4,0,Цены!AO53/1000)</f>
        <v>0</v>
      </c>
      <c r="AG47" s="99">
        <f>IF(AG$3&lt;Допущения!$E$4,0,Цены!AP53/1000)</f>
        <v>0</v>
      </c>
      <c r="AH47" s="99">
        <f>IF(AH$3&lt;Допущения!$E$4,0,Цены!AQ53/1000)</f>
        <v>0</v>
      </c>
      <c r="AI47" s="99">
        <f>IF(AI$3&lt;Допущения!$E$4,0,Цены!AR53/1000)</f>
        <v>0</v>
      </c>
      <c r="AJ47" s="99">
        <f>IF(AJ$3&lt;Допущения!$E$4,0,Цены!AS53/1000)</f>
        <v>0</v>
      </c>
      <c r="AK47" s="99">
        <f>IF(AK$3&lt;Допущения!$E$4,0,Цены!AT53/1000)</f>
        <v>0</v>
      </c>
      <c r="AL47" s="99">
        <f>IF(AL$3&lt;Допущения!$E$4,0,Цены!AU53/1000)</f>
        <v>0</v>
      </c>
      <c r="AM47" s="99">
        <f>IF(AM$3&lt;Допущения!$E$4,0,Цены!AV53/1000)</f>
        <v>0</v>
      </c>
      <c r="AN47" s="99">
        <f>IF(AN$3&lt;Допущения!$E$4,0,Цены!AW53/1000)</f>
        <v>0</v>
      </c>
      <c r="AO47" s="99">
        <f>IF(AO$3&lt;Допущения!$E$4,0,Цены!AX53/1000)</f>
        <v>0</v>
      </c>
      <c r="AP47" s="99">
        <f>IF(AP$3&lt;Допущения!$E$4,0,Цены!AY53/1000)</f>
        <v>0</v>
      </c>
      <c r="AQ47" s="99">
        <f>IF(AQ$3&lt;Допущения!$E$4,0,Цены!AZ53/1000)</f>
        <v>0</v>
      </c>
      <c r="AR47" s="99">
        <f>IF(AR$3&lt;Допущения!$E$4,0,Цены!BA53/1000)</f>
        <v>0</v>
      </c>
      <c r="AS47" s="99">
        <f>IF(AS$3&lt;Допущения!$E$4,0,Цены!BB53/1000)</f>
        <v>0</v>
      </c>
      <c r="AT47" s="99">
        <f>IF(AT$3&lt;Допущения!$E$4,0,Цены!BC53/1000)</f>
        <v>0</v>
      </c>
      <c r="AU47" s="99">
        <f>IF(AU$3&lt;Допущения!$E$4,0,Цены!BD53/1000)</f>
        <v>0</v>
      </c>
      <c r="AV47" s="99">
        <f>IF(AV$3&lt;Допущения!$E$4,0,Цены!BE53/1000)</f>
        <v>0</v>
      </c>
      <c r="AW47" s="99">
        <f>IF(AW$3&lt;Допущения!$E$4,0,Цены!BF53/1000)</f>
        <v>0</v>
      </c>
      <c r="AX47" s="99">
        <f>IF(AX$3&lt;Допущения!$E$4,0,Цены!BG53/1000)</f>
        <v>0</v>
      </c>
      <c r="AY47" s="99">
        <f>IF(AY$3&lt;Допущения!$E$4,0,Цены!BH53/1000)</f>
        <v>0</v>
      </c>
      <c r="AZ47" s="99">
        <f>IF(AZ$3&lt;Допущения!$E$4,0,Цены!BI53/1000)</f>
        <v>0</v>
      </c>
      <c r="BA47" s="99">
        <f>IF(BA$3&lt;Допущения!$E$4,0,Цены!BJ53/1000)</f>
        <v>0</v>
      </c>
      <c r="BB47" s="99">
        <f>IF(BB$3&lt;Допущения!$E$4,0,Цены!BK53/1000)</f>
        <v>0</v>
      </c>
      <c r="BC47" s="99">
        <f>IF(BC$3&lt;Допущения!$E$4,0,Цены!BL53/1000)</f>
        <v>0</v>
      </c>
      <c r="BD47" s="99">
        <f>IF(BD$3&lt;Допущения!$E$4,0,Цены!BM53/1000)</f>
        <v>0</v>
      </c>
      <c r="BE47" s="99">
        <f>IF(BE$3&lt;Допущения!$E$4,0,Цены!BN53/1000)</f>
        <v>0</v>
      </c>
      <c r="BF47" s="99">
        <f>IF(BF$3&lt;Допущения!$E$4,0,Цены!BO53/1000)</f>
        <v>0</v>
      </c>
      <c r="BG47" s="99">
        <f>IF(BG$3&lt;Допущения!$E$4,0,Цены!BP53/1000)</f>
        <v>0</v>
      </c>
      <c r="BH47" s="99">
        <f>IF(BH$3&lt;Допущения!$E$4,0,Цены!BQ53/1000)</f>
        <v>0</v>
      </c>
      <c r="BI47" s="99">
        <f>IF(BI$3&lt;Допущения!$E$4,0,Цены!BR53/1000)</f>
        <v>0</v>
      </c>
      <c r="BJ47" s="99">
        <f>IF(BJ$3&lt;Допущения!$E$4,0,Цены!BS53/1000)</f>
        <v>0</v>
      </c>
      <c r="BL47" s="247">
        <f t="shared" si="20"/>
        <v>0</v>
      </c>
      <c r="BM47" s="247">
        <f t="shared" si="20"/>
        <v>0</v>
      </c>
      <c r="BN47" s="247">
        <f t="shared" si="20"/>
        <v>0</v>
      </c>
      <c r="BO47" s="247">
        <f t="shared" si="20"/>
        <v>0</v>
      </c>
      <c r="BP47" s="247">
        <f t="shared" si="20"/>
        <v>0</v>
      </c>
      <c r="BQ47" s="247">
        <f t="shared" si="20"/>
        <v>0</v>
      </c>
    </row>
    <row r="48" spans="1:69" ht="15.75" customHeight="1">
      <c r="A48" s="30" t="str">
        <f>Цены!A54</f>
        <v>-</v>
      </c>
      <c r="B48" s="53" t="s">
        <v>221</v>
      </c>
      <c r="C48" s="99">
        <f>IF(C$3&lt;Допущения!$E$4,0,Цены!L54/1000)</f>
        <v>0</v>
      </c>
      <c r="D48" s="99">
        <f>IF(D$3&lt;Допущения!$E$4,0,Цены!M54/1000)</f>
        <v>0</v>
      </c>
      <c r="E48" s="99">
        <f>IF(E$3&lt;Допущения!$E$4,0,Цены!N54/1000)</f>
        <v>0</v>
      </c>
      <c r="F48" s="99">
        <f>IF(F$3&lt;Допущения!$E$4,0,Цены!O54/1000)</f>
        <v>0</v>
      </c>
      <c r="G48" s="99">
        <f>IF(G$3&lt;Допущения!$E$4,0,Цены!P54/1000)</f>
        <v>0</v>
      </c>
      <c r="H48" s="99">
        <f>IF(H$3&lt;Допущения!$E$4,0,Цены!Q54/1000)</f>
        <v>0</v>
      </c>
      <c r="I48" s="99">
        <f>IF(I$3&lt;Допущения!$E$4,0,Цены!R54/1000)</f>
        <v>0</v>
      </c>
      <c r="J48" s="99">
        <f>IF(J$3&lt;Допущения!$E$4,0,Цены!S54/1000)</f>
        <v>0</v>
      </c>
      <c r="K48" s="99">
        <f>IF(K$3&lt;Допущения!$E$4,0,Цены!T54/1000)</f>
        <v>0</v>
      </c>
      <c r="L48" s="99">
        <f>IF(L$3&lt;Допущения!$E$4,0,Цены!U54/1000)</f>
        <v>0</v>
      </c>
      <c r="M48" s="99">
        <f>IF(M$3&lt;Допущения!$E$4,0,Цены!V54/1000)</f>
        <v>0</v>
      </c>
      <c r="N48" s="99">
        <f>IF(N$3&lt;Допущения!$E$4,0,Цены!W54/1000)</f>
        <v>0</v>
      </c>
      <c r="O48" s="99">
        <f>IF(O$3&lt;Допущения!$E$4,0,Цены!X54/1000)</f>
        <v>0</v>
      </c>
      <c r="P48" s="99">
        <f>IF(P$3&lt;Допущения!$E$4,0,Цены!Y54/1000)</f>
        <v>0</v>
      </c>
      <c r="Q48" s="99">
        <f>IF(Q$3&lt;Допущения!$E$4,0,Цены!Z54/1000)</f>
        <v>0</v>
      </c>
      <c r="R48" s="99">
        <f>IF(R$3&lt;Допущения!$E$4,0,Цены!AA54/1000)</f>
        <v>0</v>
      </c>
      <c r="S48" s="99">
        <f>IF(S$3&lt;Допущения!$E$4,0,Цены!AB54/1000)</f>
        <v>0</v>
      </c>
      <c r="T48" s="99">
        <f>IF(T$3&lt;Допущения!$E$4,0,Цены!AC54/1000)</f>
        <v>0</v>
      </c>
      <c r="U48" s="99">
        <f>IF(U$3&lt;Допущения!$E$4,0,Цены!AD54/1000)</f>
        <v>0</v>
      </c>
      <c r="V48" s="99">
        <f>IF(V$3&lt;Допущения!$E$4,0,Цены!AE54/1000)</f>
        <v>0</v>
      </c>
      <c r="W48" s="99">
        <f>IF(W$3&lt;Допущения!$E$4,0,Цены!AF54/1000)</f>
        <v>0</v>
      </c>
      <c r="X48" s="99">
        <f>IF(X$3&lt;Допущения!$E$4,0,Цены!AG54/1000)</f>
        <v>0</v>
      </c>
      <c r="Y48" s="99">
        <f>IF(Y$3&lt;Допущения!$E$4,0,Цены!AH54/1000)</f>
        <v>0</v>
      </c>
      <c r="Z48" s="99">
        <f>IF(Z$3&lt;Допущения!$E$4,0,Цены!AI54/1000)</f>
        <v>0</v>
      </c>
      <c r="AA48" s="99">
        <f>IF(AA$3&lt;Допущения!$E$4,0,Цены!AJ54/1000)</f>
        <v>0</v>
      </c>
      <c r="AB48" s="99">
        <f>IF(AB$3&lt;Допущения!$E$4,0,Цены!AK54/1000)</f>
        <v>0</v>
      </c>
      <c r="AC48" s="99">
        <f>IF(AC$3&lt;Допущения!$E$4,0,Цены!AL54/1000)</f>
        <v>0</v>
      </c>
      <c r="AD48" s="99">
        <f>IF(AD$3&lt;Допущения!$E$4,0,Цены!AM54/1000)</f>
        <v>0</v>
      </c>
      <c r="AE48" s="99">
        <f>IF(AE$3&lt;Допущения!$E$4,0,Цены!AN54/1000)</f>
        <v>0</v>
      </c>
      <c r="AF48" s="99">
        <f>IF(AF$3&lt;Допущения!$E$4,0,Цены!AO54/1000)</f>
        <v>0</v>
      </c>
      <c r="AG48" s="99">
        <f>IF(AG$3&lt;Допущения!$E$4,0,Цены!AP54/1000)</f>
        <v>0</v>
      </c>
      <c r="AH48" s="99">
        <f>IF(AH$3&lt;Допущения!$E$4,0,Цены!AQ54/1000)</f>
        <v>0</v>
      </c>
      <c r="AI48" s="99">
        <f>IF(AI$3&lt;Допущения!$E$4,0,Цены!AR54/1000)</f>
        <v>0</v>
      </c>
      <c r="AJ48" s="99">
        <f>IF(AJ$3&lt;Допущения!$E$4,0,Цены!AS54/1000)</f>
        <v>0</v>
      </c>
      <c r="AK48" s="99">
        <f>IF(AK$3&lt;Допущения!$E$4,0,Цены!AT54/1000)</f>
        <v>0</v>
      </c>
      <c r="AL48" s="99">
        <f>IF(AL$3&lt;Допущения!$E$4,0,Цены!AU54/1000)</f>
        <v>0</v>
      </c>
      <c r="AM48" s="99">
        <f>IF(AM$3&lt;Допущения!$E$4,0,Цены!AV54/1000)</f>
        <v>0</v>
      </c>
      <c r="AN48" s="99">
        <f>IF(AN$3&lt;Допущения!$E$4,0,Цены!AW54/1000)</f>
        <v>0</v>
      </c>
      <c r="AO48" s="99">
        <f>IF(AO$3&lt;Допущения!$E$4,0,Цены!AX54/1000)</f>
        <v>0</v>
      </c>
      <c r="AP48" s="99">
        <f>IF(AP$3&lt;Допущения!$E$4,0,Цены!AY54/1000)</f>
        <v>0</v>
      </c>
      <c r="AQ48" s="99">
        <f>IF(AQ$3&lt;Допущения!$E$4,0,Цены!AZ54/1000)</f>
        <v>0</v>
      </c>
      <c r="AR48" s="99">
        <f>IF(AR$3&lt;Допущения!$E$4,0,Цены!BA54/1000)</f>
        <v>0</v>
      </c>
      <c r="AS48" s="99">
        <f>IF(AS$3&lt;Допущения!$E$4,0,Цены!BB54/1000)</f>
        <v>0</v>
      </c>
      <c r="AT48" s="99">
        <f>IF(AT$3&lt;Допущения!$E$4,0,Цены!BC54/1000)</f>
        <v>0</v>
      </c>
      <c r="AU48" s="99">
        <f>IF(AU$3&lt;Допущения!$E$4,0,Цены!BD54/1000)</f>
        <v>0</v>
      </c>
      <c r="AV48" s="99">
        <f>IF(AV$3&lt;Допущения!$E$4,0,Цены!BE54/1000)</f>
        <v>0</v>
      </c>
      <c r="AW48" s="99">
        <f>IF(AW$3&lt;Допущения!$E$4,0,Цены!BF54/1000)</f>
        <v>0</v>
      </c>
      <c r="AX48" s="99">
        <f>IF(AX$3&lt;Допущения!$E$4,0,Цены!BG54/1000)</f>
        <v>0</v>
      </c>
      <c r="AY48" s="99">
        <f>IF(AY$3&lt;Допущения!$E$4,0,Цены!BH54/1000)</f>
        <v>0</v>
      </c>
      <c r="AZ48" s="99">
        <f>IF(AZ$3&lt;Допущения!$E$4,0,Цены!BI54/1000)</f>
        <v>0</v>
      </c>
      <c r="BA48" s="99">
        <f>IF(BA$3&lt;Допущения!$E$4,0,Цены!BJ54/1000)</f>
        <v>0</v>
      </c>
      <c r="BB48" s="99">
        <f>IF(BB$3&lt;Допущения!$E$4,0,Цены!BK54/1000)</f>
        <v>0</v>
      </c>
      <c r="BC48" s="99">
        <f>IF(BC$3&lt;Допущения!$E$4,0,Цены!BL54/1000)</f>
        <v>0</v>
      </c>
      <c r="BD48" s="99">
        <f>IF(BD$3&lt;Допущения!$E$4,0,Цены!BM54/1000)</f>
        <v>0</v>
      </c>
      <c r="BE48" s="99">
        <f>IF(BE$3&lt;Допущения!$E$4,0,Цены!BN54/1000)</f>
        <v>0</v>
      </c>
      <c r="BF48" s="99">
        <f>IF(BF$3&lt;Допущения!$E$4,0,Цены!BO54/1000)</f>
        <v>0</v>
      </c>
      <c r="BG48" s="99">
        <f>IF(BG$3&lt;Допущения!$E$4,0,Цены!BP54/1000)</f>
        <v>0</v>
      </c>
      <c r="BH48" s="99">
        <f>IF(BH$3&lt;Допущения!$E$4,0,Цены!BQ54/1000)</f>
        <v>0</v>
      </c>
      <c r="BI48" s="99">
        <f>IF(BI$3&lt;Допущения!$E$4,0,Цены!BR54/1000)</f>
        <v>0</v>
      </c>
      <c r="BJ48" s="99">
        <f>IF(BJ$3&lt;Допущения!$E$4,0,Цены!BS54/1000)</f>
        <v>0</v>
      </c>
      <c r="BL48" s="247">
        <f t="shared" si="20"/>
        <v>0</v>
      </c>
      <c r="BM48" s="247">
        <f t="shared" si="20"/>
        <v>0</v>
      </c>
      <c r="BN48" s="247">
        <f t="shared" si="20"/>
        <v>0</v>
      </c>
      <c r="BO48" s="247">
        <f t="shared" si="20"/>
        <v>0</v>
      </c>
      <c r="BP48" s="247">
        <f t="shared" si="20"/>
        <v>0</v>
      </c>
      <c r="BQ48" s="247">
        <f t="shared" si="20"/>
        <v>0</v>
      </c>
    </row>
    <row r="49" spans="1:71" ht="15.75" customHeight="1">
      <c r="A49" s="30" t="str">
        <f>Цены!A55</f>
        <v>-</v>
      </c>
      <c r="B49" s="53" t="s">
        <v>221</v>
      </c>
      <c r="C49" s="99">
        <f>IF(C$3&lt;Допущения!$E$4,0,Цены!L55/1000)</f>
        <v>0</v>
      </c>
      <c r="D49" s="99">
        <f>IF(D$3&lt;Допущения!$E$4,0,Цены!M55/1000)</f>
        <v>0</v>
      </c>
      <c r="E49" s="99">
        <f>IF(E$3&lt;Допущения!$E$4,0,Цены!N55/1000)</f>
        <v>0</v>
      </c>
      <c r="F49" s="99">
        <f>IF(F$3&lt;Допущения!$E$4,0,Цены!O55/1000)</f>
        <v>0</v>
      </c>
      <c r="G49" s="99">
        <f>IF(G$3&lt;Допущения!$E$4,0,Цены!P55/1000)</f>
        <v>0</v>
      </c>
      <c r="H49" s="99">
        <f>IF(H$3&lt;Допущения!$E$4,0,Цены!Q55/1000)</f>
        <v>0</v>
      </c>
      <c r="I49" s="99">
        <f>IF(I$3&lt;Допущения!$E$4,0,Цены!R55/1000)</f>
        <v>0</v>
      </c>
      <c r="J49" s="99">
        <f>IF(J$3&lt;Допущения!$E$4,0,Цены!S55/1000)</f>
        <v>0</v>
      </c>
      <c r="K49" s="99">
        <f>IF(K$3&lt;Допущения!$E$4,0,Цены!T55/1000)</f>
        <v>0</v>
      </c>
      <c r="L49" s="99">
        <f>IF(L$3&lt;Допущения!$E$4,0,Цены!U55/1000)</f>
        <v>0</v>
      </c>
      <c r="M49" s="99">
        <f>IF(M$3&lt;Допущения!$E$4,0,Цены!V55/1000)</f>
        <v>0</v>
      </c>
      <c r="N49" s="99">
        <f>IF(N$3&lt;Допущения!$E$4,0,Цены!W55/1000)</f>
        <v>0</v>
      </c>
      <c r="O49" s="99">
        <f>IF(O$3&lt;Допущения!$E$4,0,Цены!X55/1000)</f>
        <v>0</v>
      </c>
      <c r="P49" s="99">
        <f>IF(P$3&lt;Допущения!$E$4,0,Цены!Y55/1000)</f>
        <v>0</v>
      </c>
      <c r="Q49" s="99">
        <f>IF(Q$3&lt;Допущения!$E$4,0,Цены!Z55/1000)</f>
        <v>0</v>
      </c>
      <c r="R49" s="99">
        <f>IF(R$3&lt;Допущения!$E$4,0,Цены!AA55/1000)</f>
        <v>0</v>
      </c>
      <c r="S49" s="99">
        <f>IF(S$3&lt;Допущения!$E$4,0,Цены!AB55/1000)</f>
        <v>0</v>
      </c>
      <c r="T49" s="99">
        <f>IF(T$3&lt;Допущения!$E$4,0,Цены!AC55/1000)</f>
        <v>0</v>
      </c>
      <c r="U49" s="99">
        <f>IF(U$3&lt;Допущения!$E$4,0,Цены!AD55/1000)</f>
        <v>0</v>
      </c>
      <c r="V49" s="99">
        <f>IF(V$3&lt;Допущения!$E$4,0,Цены!AE55/1000)</f>
        <v>0</v>
      </c>
      <c r="W49" s="99">
        <f>IF(W$3&lt;Допущения!$E$4,0,Цены!AF55/1000)</f>
        <v>0</v>
      </c>
      <c r="X49" s="99">
        <f>IF(X$3&lt;Допущения!$E$4,0,Цены!AG55/1000)</f>
        <v>0</v>
      </c>
      <c r="Y49" s="99">
        <f>IF(Y$3&lt;Допущения!$E$4,0,Цены!AH55/1000)</f>
        <v>0</v>
      </c>
      <c r="Z49" s="99">
        <f>IF(Z$3&lt;Допущения!$E$4,0,Цены!AI55/1000)</f>
        <v>0</v>
      </c>
      <c r="AA49" s="99">
        <f>IF(AA$3&lt;Допущения!$E$4,0,Цены!AJ55/1000)</f>
        <v>0</v>
      </c>
      <c r="AB49" s="99">
        <f>IF(AB$3&lt;Допущения!$E$4,0,Цены!AK55/1000)</f>
        <v>0</v>
      </c>
      <c r="AC49" s="99">
        <f>IF(AC$3&lt;Допущения!$E$4,0,Цены!AL55/1000)</f>
        <v>0</v>
      </c>
      <c r="AD49" s="99">
        <f>IF(AD$3&lt;Допущения!$E$4,0,Цены!AM55/1000)</f>
        <v>0</v>
      </c>
      <c r="AE49" s="99">
        <f>IF(AE$3&lt;Допущения!$E$4,0,Цены!AN55/1000)</f>
        <v>0</v>
      </c>
      <c r="AF49" s="99">
        <f>IF(AF$3&lt;Допущения!$E$4,0,Цены!AO55/1000)</f>
        <v>0</v>
      </c>
      <c r="AG49" s="99">
        <f>IF(AG$3&lt;Допущения!$E$4,0,Цены!AP55/1000)</f>
        <v>0</v>
      </c>
      <c r="AH49" s="99">
        <f>IF(AH$3&lt;Допущения!$E$4,0,Цены!AQ55/1000)</f>
        <v>0</v>
      </c>
      <c r="AI49" s="99">
        <f>IF(AI$3&lt;Допущения!$E$4,0,Цены!AR55/1000)</f>
        <v>0</v>
      </c>
      <c r="AJ49" s="99">
        <f>IF(AJ$3&lt;Допущения!$E$4,0,Цены!AS55/1000)</f>
        <v>0</v>
      </c>
      <c r="AK49" s="99">
        <f>IF(AK$3&lt;Допущения!$E$4,0,Цены!AT55/1000)</f>
        <v>0</v>
      </c>
      <c r="AL49" s="99">
        <f>IF(AL$3&lt;Допущения!$E$4,0,Цены!AU55/1000)</f>
        <v>0</v>
      </c>
      <c r="AM49" s="99">
        <f>IF(AM$3&lt;Допущения!$E$4,0,Цены!AV55/1000)</f>
        <v>0</v>
      </c>
      <c r="AN49" s="99">
        <f>IF(AN$3&lt;Допущения!$E$4,0,Цены!AW55/1000)</f>
        <v>0</v>
      </c>
      <c r="AO49" s="99">
        <f>IF(AO$3&lt;Допущения!$E$4,0,Цены!AX55/1000)</f>
        <v>0</v>
      </c>
      <c r="AP49" s="99">
        <f>IF(AP$3&lt;Допущения!$E$4,0,Цены!AY55/1000)</f>
        <v>0</v>
      </c>
      <c r="AQ49" s="99">
        <f>IF(AQ$3&lt;Допущения!$E$4,0,Цены!AZ55/1000)</f>
        <v>0</v>
      </c>
      <c r="AR49" s="99">
        <f>IF(AR$3&lt;Допущения!$E$4,0,Цены!BA55/1000)</f>
        <v>0</v>
      </c>
      <c r="AS49" s="99">
        <f>IF(AS$3&lt;Допущения!$E$4,0,Цены!BB55/1000)</f>
        <v>0</v>
      </c>
      <c r="AT49" s="99">
        <f>IF(AT$3&lt;Допущения!$E$4,0,Цены!BC55/1000)</f>
        <v>0</v>
      </c>
      <c r="AU49" s="99">
        <f>IF(AU$3&lt;Допущения!$E$4,0,Цены!BD55/1000)</f>
        <v>0</v>
      </c>
      <c r="AV49" s="99">
        <f>IF(AV$3&lt;Допущения!$E$4,0,Цены!BE55/1000)</f>
        <v>0</v>
      </c>
      <c r="AW49" s="99">
        <f>IF(AW$3&lt;Допущения!$E$4,0,Цены!BF55/1000)</f>
        <v>0</v>
      </c>
      <c r="AX49" s="99">
        <f>IF(AX$3&lt;Допущения!$E$4,0,Цены!BG55/1000)</f>
        <v>0</v>
      </c>
      <c r="AY49" s="99">
        <f>IF(AY$3&lt;Допущения!$E$4,0,Цены!BH55/1000)</f>
        <v>0</v>
      </c>
      <c r="AZ49" s="99">
        <f>IF(AZ$3&lt;Допущения!$E$4,0,Цены!BI55/1000)</f>
        <v>0</v>
      </c>
      <c r="BA49" s="99">
        <f>IF(BA$3&lt;Допущения!$E$4,0,Цены!BJ55/1000)</f>
        <v>0</v>
      </c>
      <c r="BB49" s="99">
        <f>IF(BB$3&lt;Допущения!$E$4,0,Цены!BK55/1000)</f>
        <v>0</v>
      </c>
      <c r="BC49" s="99">
        <f>IF(BC$3&lt;Допущения!$E$4,0,Цены!BL55/1000)</f>
        <v>0</v>
      </c>
      <c r="BD49" s="99">
        <f>IF(BD$3&lt;Допущения!$E$4,0,Цены!BM55/1000)</f>
        <v>0</v>
      </c>
      <c r="BE49" s="99">
        <f>IF(BE$3&lt;Допущения!$E$4,0,Цены!BN55/1000)</f>
        <v>0</v>
      </c>
      <c r="BF49" s="99">
        <f>IF(BF$3&lt;Допущения!$E$4,0,Цены!BO55/1000)</f>
        <v>0</v>
      </c>
      <c r="BG49" s="99">
        <f>IF(BG$3&lt;Допущения!$E$4,0,Цены!BP55/1000)</f>
        <v>0</v>
      </c>
      <c r="BH49" s="99">
        <f>IF(BH$3&lt;Допущения!$E$4,0,Цены!BQ55/1000)</f>
        <v>0</v>
      </c>
      <c r="BI49" s="99">
        <f>IF(BI$3&lt;Допущения!$E$4,0,Цены!BR55/1000)</f>
        <v>0</v>
      </c>
      <c r="BJ49" s="99">
        <f>IF(BJ$3&lt;Допущения!$E$4,0,Цены!BS55/1000)</f>
        <v>0</v>
      </c>
      <c r="BL49" s="247">
        <f t="shared" si="20"/>
        <v>0</v>
      </c>
      <c r="BM49" s="247">
        <f t="shared" si="20"/>
        <v>0</v>
      </c>
      <c r="BN49" s="247">
        <f t="shared" si="20"/>
        <v>0</v>
      </c>
      <c r="BO49" s="247">
        <f t="shared" si="20"/>
        <v>0</v>
      </c>
      <c r="BP49" s="247">
        <f t="shared" si="20"/>
        <v>0</v>
      </c>
      <c r="BQ49" s="247">
        <f t="shared" si="20"/>
        <v>0</v>
      </c>
    </row>
    <row r="50" spans="1:71">
      <c r="A50" s="30" t="s">
        <v>39</v>
      </c>
      <c r="B50" s="53" t="s">
        <v>221</v>
      </c>
      <c r="C50" s="97">
        <f>SUM(C39:C49)*Допущения!$C$67</f>
        <v>49.377899999999997</v>
      </c>
      <c r="D50" s="97">
        <f>SUM(D39:D49)*Допущения!$C$67</f>
        <v>49.377899999999997</v>
      </c>
      <c r="E50" s="97">
        <f>SUM(E39:E49)*Допущения!$C$67</f>
        <v>49.377899999999997</v>
      </c>
      <c r="F50" s="97">
        <f>SUM(F39:F49)*Допущения!$C$67</f>
        <v>50.340399999999988</v>
      </c>
      <c r="G50" s="97">
        <f>SUM(G39:G49)*Допущения!$C$67</f>
        <v>51.869862000000005</v>
      </c>
      <c r="H50" s="97">
        <f>SUM(H39:H49)*Допущения!$C$67</f>
        <v>51.869862000000005</v>
      </c>
      <c r="I50" s="97">
        <f>SUM(I39:I49)*Допущения!$C$67</f>
        <v>51.869862000000005</v>
      </c>
      <c r="J50" s="97">
        <f>SUM(J39:J49)*Допущения!$C$67</f>
        <v>51.869862000000005</v>
      </c>
      <c r="K50" s="97">
        <f>SUM(K39:K49)*Допущения!$C$67</f>
        <v>51.869862000000005</v>
      </c>
      <c r="L50" s="97">
        <f>SUM(L39:L49)*Допущения!$C$67</f>
        <v>51.869862000000005</v>
      </c>
      <c r="M50" s="97">
        <f>SUM(M39:M49)*Допущения!$C$67</f>
        <v>51.869862000000005</v>
      </c>
      <c r="N50" s="97">
        <f>SUM(N39:N49)*Допущения!$C$67</f>
        <v>51.869862000000005</v>
      </c>
      <c r="O50" s="97">
        <f>SUM(O39:O49)*Допущения!$C$67</f>
        <v>51.869862000000005</v>
      </c>
      <c r="P50" s="97">
        <f>SUM(P39:P49)*Допущения!$C$67</f>
        <v>51.869862000000005</v>
      </c>
      <c r="Q50" s="97">
        <f>SUM(Q39:Q49)*Допущения!$C$67</f>
        <v>51.869862000000005</v>
      </c>
      <c r="R50" s="97">
        <f>SUM(R39:R49)*Допущения!$C$67</f>
        <v>51.869862000000005</v>
      </c>
      <c r="S50" s="97">
        <f>SUM(S39:S49)*Допущения!$C$67</f>
        <v>53.446170359999996</v>
      </c>
      <c r="T50" s="97">
        <f>SUM(T39:T49)*Допущения!$C$67</f>
        <v>53.446170359999996</v>
      </c>
      <c r="U50" s="97">
        <f>SUM(U39:U49)*Допущения!$C$67</f>
        <v>53.446170359999996</v>
      </c>
      <c r="V50" s="97">
        <f>SUM(V39:V49)*Допущения!$C$67</f>
        <v>53.446170359999996</v>
      </c>
      <c r="W50" s="97">
        <f>SUM(W39:W49)*Допущения!$C$67</f>
        <v>53.446170359999996</v>
      </c>
      <c r="X50" s="97">
        <f>SUM(X39:X49)*Допущения!$C$67</f>
        <v>53.446170359999996</v>
      </c>
      <c r="Y50" s="97">
        <f>SUM(Y39:Y49)*Допущения!$C$67</f>
        <v>53.446170359999996</v>
      </c>
      <c r="Z50" s="97">
        <f>SUM(Z39:Z49)*Допущения!$C$67</f>
        <v>53.446170359999996</v>
      </c>
      <c r="AA50" s="97">
        <f>SUM(AA39:AA49)*Допущения!$C$67</f>
        <v>53.446170359999996</v>
      </c>
      <c r="AB50" s="97">
        <f>SUM(AB39:AB49)*Допущения!$C$67</f>
        <v>53.446170359999996</v>
      </c>
      <c r="AC50" s="97">
        <f>SUM(AC39:AC49)*Допущения!$C$67</f>
        <v>53.446170359999996</v>
      </c>
      <c r="AD50" s="97">
        <f>SUM(AD39:AD49)*Допущения!$C$67</f>
        <v>53.446170359999996</v>
      </c>
      <c r="AE50" s="97">
        <f>SUM(AE39:AE49)*Допущения!$C$67</f>
        <v>55.070778595799986</v>
      </c>
      <c r="AF50" s="97">
        <f>SUM(AF39:AF49)*Допущения!$C$67</f>
        <v>55.070778595799986</v>
      </c>
      <c r="AG50" s="97">
        <f>SUM(AG39:AG49)*Допущения!$C$67</f>
        <v>55.070778595799986</v>
      </c>
      <c r="AH50" s="97">
        <f>SUM(AH39:AH49)*Допущения!$C$67</f>
        <v>55.070778595799986</v>
      </c>
      <c r="AI50" s="97">
        <f>SUM(AI39:AI49)*Допущения!$C$67</f>
        <v>55.070778595799986</v>
      </c>
      <c r="AJ50" s="97">
        <f>SUM(AJ39:AJ49)*Допущения!$C$67</f>
        <v>55.070778595799986</v>
      </c>
      <c r="AK50" s="97">
        <f>SUM(AK39:AK49)*Допущения!$C$67</f>
        <v>55.070778595799986</v>
      </c>
      <c r="AL50" s="97">
        <f>SUM(AL39:AL49)*Допущения!$C$67</f>
        <v>55.070778595799986</v>
      </c>
      <c r="AM50" s="97">
        <f>SUM(AM39:AM49)*Допущения!$C$67</f>
        <v>55.070778595799986</v>
      </c>
      <c r="AN50" s="97">
        <f>SUM(AN39:AN49)*Допущения!$C$67</f>
        <v>55.070778595799986</v>
      </c>
      <c r="AO50" s="97">
        <f>SUM(AO39:AO49)*Допущения!$C$67</f>
        <v>55.070778595799986</v>
      </c>
      <c r="AP50" s="97">
        <f>SUM(AP39:AP49)*Допущения!$C$67</f>
        <v>55.070778595799986</v>
      </c>
      <c r="AQ50" s="97">
        <f>SUM(AQ39:AQ49)*Допущения!$C$67</f>
        <v>56.745186234923999</v>
      </c>
      <c r="AR50" s="97">
        <f>SUM(AR39:AR49)*Допущения!$C$67</f>
        <v>56.745186234923999</v>
      </c>
      <c r="AS50" s="97">
        <f>SUM(AS39:AS49)*Допущения!$C$67</f>
        <v>56.745186234923999</v>
      </c>
      <c r="AT50" s="97">
        <f>SUM(AT39:AT49)*Допущения!$C$67</f>
        <v>56.745186234923999</v>
      </c>
      <c r="AU50" s="97">
        <f>SUM(AU39:AU49)*Допущения!$C$67</f>
        <v>56.745186234923999</v>
      </c>
      <c r="AV50" s="97">
        <f>SUM(AV39:AV49)*Допущения!$C$67</f>
        <v>56.745186234923999</v>
      </c>
      <c r="AW50" s="97">
        <f>SUM(AW39:AW49)*Допущения!$C$67</f>
        <v>56.745186234923999</v>
      </c>
      <c r="AX50" s="97">
        <f>SUM(AX39:AX49)*Допущения!$C$67</f>
        <v>56.745186234923999</v>
      </c>
      <c r="AY50" s="97">
        <f>SUM(AY39:AY49)*Допущения!$C$67</f>
        <v>56.745186234923999</v>
      </c>
      <c r="AZ50" s="97">
        <f>SUM(AZ39:AZ49)*Допущения!$C$67</f>
        <v>56.745186234923999</v>
      </c>
      <c r="BA50" s="97">
        <f>SUM(BA39:BA49)*Допущения!$C$67</f>
        <v>56.745186234923999</v>
      </c>
      <c r="BB50" s="97">
        <f>SUM(BB39:BB49)*Допущения!$C$67</f>
        <v>56.745186234923999</v>
      </c>
      <c r="BC50" s="97">
        <f>SUM(BC39:BC49)*Допущения!$C$67</f>
        <v>58.470940317284224</v>
      </c>
      <c r="BD50" s="97">
        <f>SUM(BD39:BD49)*Допущения!$C$67</f>
        <v>58.470940317284224</v>
      </c>
      <c r="BE50" s="97">
        <f>SUM(BE39:BE49)*Допущения!$C$67</f>
        <v>58.470940317284224</v>
      </c>
      <c r="BF50" s="97">
        <f>SUM(BF39:BF49)*Допущения!$C$67</f>
        <v>58.470940317284224</v>
      </c>
      <c r="BG50" s="97">
        <f>SUM(BG39:BG49)*Допущения!$C$67</f>
        <v>58.470940317284224</v>
      </c>
      <c r="BH50" s="97">
        <f>SUM(BH39:BH49)*Допущения!$C$67</f>
        <v>58.470940317284224</v>
      </c>
      <c r="BI50" s="97">
        <f>SUM(BI39:BI49)*Допущения!$C$67</f>
        <v>58.470940317284224</v>
      </c>
      <c r="BJ50" s="97">
        <f>SUM(BJ39:BJ49)*Допущения!$C$67</f>
        <v>58.470940317284224</v>
      </c>
      <c r="BL50" s="247">
        <f t="shared" si="20"/>
        <v>198.47409999999996</v>
      </c>
      <c r="BM50" s="247">
        <f t="shared" si="20"/>
        <v>622.43834400000003</v>
      </c>
      <c r="BN50" s="247">
        <f t="shared" si="20"/>
        <v>641.35404431999996</v>
      </c>
      <c r="BO50" s="247">
        <f t="shared" si="20"/>
        <v>660.8493431495998</v>
      </c>
      <c r="BP50" s="247">
        <f t="shared" si="20"/>
        <v>680.94223481908784</v>
      </c>
      <c r="BQ50" s="247">
        <f t="shared" si="20"/>
        <v>467.76752253827374</v>
      </c>
    </row>
    <row r="51" spans="1:71">
      <c r="A51" s="18" t="s">
        <v>11</v>
      </c>
      <c r="B51" s="18"/>
      <c r="C51" s="98">
        <f>SUM(C39:C50)*'Анализ чувствительности'!$B$8/100</f>
        <v>1695.3078999999998</v>
      </c>
      <c r="D51" s="98">
        <f>SUM(D39:D50)*'Анализ чувствительности'!$B$8/100</f>
        <v>1695.3078999999998</v>
      </c>
      <c r="E51" s="98">
        <f>SUM(E39:E50)*'Анализ чувствительности'!$B$8/100</f>
        <v>1695.3078999999998</v>
      </c>
      <c r="F51" s="98">
        <f>SUM(F39:F50)*'Анализ чувствительности'!$B$8/100</f>
        <v>1728.3537333333331</v>
      </c>
      <c r="G51" s="98">
        <f>SUM(G39:G50)*'Анализ чувствительности'!$B$8/100</f>
        <v>1780.8652620000003</v>
      </c>
      <c r="H51" s="98">
        <f>SUM(H39:H50)*'Анализ чувствительности'!$B$8/100</f>
        <v>1780.8652620000003</v>
      </c>
      <c r="I51" s="98">
        <f>SUM(I39:I50)*'Анализ чувствительности'!$B$8/100</f>
        <v>1780.8652620000003</v>
      </c>
      <c r="J51" s="98">
        <f>SUM(J39:J50)*'Анализ чувствительности'!$B$8/100</f>
        <v>1780.8652620000003</v>
      </c>
      <c r="K51" s="98">
        <f>SUM(K39:K50)*'Анализ чувствительности'!$B$8/100</f>
        <v>1780.8652620000003</v>
      </c>
      <c r="L51" s="98">
        <f>SUM(L39:L50)*'Анализ чувствительности'!$B$8/100</f>
        <v>1780.8652620000003</v>
      </c>
      <c r="M51" s="98">
        <f>SUM(M39:M50)*'Анализ чувствительности'!$B$8/100</f>
        <v>1780.8652620000003</v>
      </c>
      <c r="N51" s="98">
        <f>SUM(N39:N50)*'Анализ чувствительности'!$B$8/100</f>
        <v>1780.8652620000003</v>
      </c>
      <c r="O51" s="98">
        <f>SUM(O39:O50)*'Анализ чувствительности'!$B$8/100</f>
        <v>1780.8652620000003</v>
      </c>
      <c r="P51" s="98">
        <f>SUM(P39:P50)*'Анализ чувствительности'!$B$8/100</f>
        <v>1780.8652620000003</v>
      </c>
      <c r="Q51" s="98">
        <f>SUM(Q39:Q50)*'Анализ чувствительности'!$B$8/100</f>
        <v>1780.8652620000003</v>
      </c>
      <c r="R51" s="98">
        <f>SUM(R39:R50)*'Анализ чувствительности'!$B$8/100</f>
        <v>1780.8652620000003</v>
      </c>
      <c r="S51" s="98">
        <f>SUM(S39:S50)*'Анализ чувствительности'!$B$8/100</f>
        <v>1834.98518236</v>
      </c>
      <c r="T51" s="98">
        <f>SUM(T39:T50)*'Анализ чувствительности'!$B$8/100</f>
        <v>1834.98518236</v>
      </c>
      <c r="U51" s="98">
        <f>SUM(U39:U50)*'Анализ чувствительности'!$B$8/100</f>
        <v>1834.98518236</v>
      </c>
      <c r="V51" s="98">
        <f>SUM(V39:V50)*'Анализ чувствительности'!$B$8/100</f>
        <v>1834.98518236</v>
      </c>
      <c r="W51" s="98">
        <f>SUM(W39:W50)*'Анализ чувствительности'!$B$8/100</f>
        <v>1834.98518236</v>
      </c>
      <c r="X51" s="98">
        <f>SUM(X39:X50)*'Анализ чувствительности'!$B$8/100</f>
        <v>1834.98518236</v>
      </c>
      <c r="Y51" s="98">
        <f>SUM(Y39:Y50)*'Анализ чувствительности'!$B$8/100</f>
        <v>1834.98518236</v>
      </c>
      <c r="Z51" s="98">
        <f>SUM(Z39:Z50)*'Анализ чувствительности'!$B$8/100</f>
        <v>1834.98518236</v>
      </c>
      <c r="AA51" s="98">
        <f>SUM(AA39:AA50)*'Анализ чувствительности'!$B$8/100</f>
        <v>1834.98518236</v>
      </c>
      <c r="AB51" s="98">
        <f>SUM(AB39:AB50)*'Анализ чувствительности'!$B$8/100</f>
        <v>1834.98518236</v>
      </c>
      <c r="AC51" s="98">
        <f>SUM(AC39:AC50)*'Анализ чувствительности'!$B$8/100</f>
        <v>1834.98518236</v>
      </c>
      <c r="AD51" s="98">
        <f>SUM(AD39:AD50)*'Анализ чувствительности'!$B$8/100</f>
        <v>1834.98518236</v>
      </c>
      <c r="AE51" s="98">
        <f>SUM(AE39:AE50)*'Анализ чувствительности'!$B$8/100</f>
        <v>1890.7633984557997</v>
      </c>
      <c r="AF51" s="98">
        <f>SUM(AF39:AF50)*'Анализ чувствительности'!$B$8/100</f>
        <v>1890.7633984557997</v>
      </c>
      <c r="AG51" s="98">
        <f>SUM(AG39:AG50)*'Анализ чувствительности'!$B$8/100</f>
        <v>1890.7633984557997</v>
      </c>
      <c r="AH51" s="98">
        <f>SUM(AH39:AH50)*'Анализ чувствительности'!$B$8/100</f>
        <v>1890.7633984557997</v>
      </c>
      <c r="AI51" s="98">
        <f>SUM(AI39:AI50)*'Анализ чувствительности'!$B$8/100</f>
        <v>1890.7633984557997</v>
      </c>
      <c r="AJ51" s="98">
        <f>SUM(AJ39:AJ50)*'Анализ чувствительности'!$B$8/100</f>
        <v>1890.7633984557997</v>
      </c>
      <c r="AK51" s="98">
        <f>SUM(AK39:AK50)*'Анализ чувствительности'!$B$8/100</f>
        <v>1890.7633984557997</v>
      </c>
      <c r="AL51" s="98">
        <f>SUM(AL39:AL50)*'Анализ чувствительности'!$B$8/100</f>
        <v>1890.7633984557997</v>
      </c>
      <c r="AM51" s="98">
        <f>SUM(AM39:AM50)*'Анализ чувствительности'!$B$8/100</f>
        <v>1890.7633984557997</v>
      </c>
      <c r="AN51" s="98">
        <f>SUM(AN39:AN50)*'Анализ чувствительности'!$B$8/100</f>
        <v>1890.7633984557997</v>
      </c>
      <c r="AO51" s="98">
        <f>SUM(AO39:AO50)*'Анализ чувствительности'!$B$8/100</f>
        <v>1890.7633984557997</v>
      </c>
      <c r="AP51" s="98">
        <f>SUM(AP39:AP50)*'Анализ чувствительности'!$B$8/100</f>
        <v>1890.7633984557997</v>
      </c>
      <c r="AQ51" s="98">
        <f>SUM(AQ39:AQ50)*'Анализ чувствительности'!$B$8/100</f>
        <v>1948.2513940657241</v>
      </c>
      <c r="AR51" s="98">
        <f>SUM(AR39:AR50)*'Анализ чувствительности'!$B$8/100</f>
        <v>1948.2513940657241</v>
      </c>
      <c r="AS51" s="98">
        <f>SUM(AS39:AS50)*'Анализ чувствительности'!$B$8/100</f>
        <v>1948.2513940657241</v>
      </c>
      <c r="AT51" s="98">
        <f>SUM(AT39:AT50)*'Анализ чувствительности'!$B$8/100</f>
        <v>1948.2513940657241</v>
      </c>
      <c r="AU51" s="98">
        <f>SUM(AU39:AU50)*'Анализ чувствительности'!$B$8/100</f>
        <v>1948.2513940657241</v>
      </c>
      <c r="AV51" s="98">
        <f>SUM(AV39:AV50)*'Анализ чувствительности'!$B$8/100</f>
        <v>1948.2513940657241</v>
      </c>
      <c r="AW51" s="98">
        <f>SUM(AW39:AW50)*'Анализ чувствительности'!$B$8/100</f>
        <v>1948.2513940657241</v>
      </c>
      <c r="AX51" s="98">
        <f>SUM(AX39:AX50)*'Анализ чувствительности'!$B$8/100</f>
        <v>1948.2513940657241</v>
      </c>
      <c r="AY51" s="98">
        <f>SUM(AY39:AY50)*'Анализ чувствительности'!$B$8/100</f>
        <v>1948.2513940657241</v>
      </c>
      <c r="AZ51" s="98">
        <f>SUM(AZ39:AZ50)*'Анализ чувствительности'!$B$8/100</f>
        <v>1948.2513940657241</v>
      </c>
      <c r="BA51" s="98">
        <f>SUM(BA39:BA50)*'Анализ чувствительности'!$B$8/100</f>
        <v>1948.2513940657241</v>
      </c>
      <c r="BB51" s="98">
        <f>SUM(BB39:BB50)*'Анализ чувствительности'!$B$8/100</f>
        <v>1948.2513940657241</v>
      </c>
      <c r="BC51" s="98">
        <f>SUM(BC39:BC50)*'Анализ чувствительности'!$B$8/100</f>
        <v>2007.5022842267583</v>
      </c>
      <c r="BD51" s="98">
        <f>SUM(BD39:BD50)*'Анализ чувствительности'!$B$8/100</f>
        <v>2007.5022842267583</v>
      </c>
      <c r="BE51" s="98">
        <f>SUM(BE39:BE50)*'Анализ чувствительности'!$B$8/100</f>
        <v>2007.5022842267583</v>
      </c>
      <c r="BF51" s="98">
        <f>SUM(BF39:BF50)*'Анализ чувствительности'!$B$8/100</f>
        <v>2007.5022842267583</v>
      </c>
      <c r="BG51" s="98">
        <f>SUM(BG39:BG50)*'Анализ чувствительности'!$B$8/100</f>
        <v>2007.5022842267583</v>
      </c>
      <c r="BH51" s="98">
        <f>SUM(BH39:BH50)*'Анализ чувствительности'!$B$8/100</f>
        <v>2007.5022842267583</v>
      </c>
      <c r="BI51" s="98">
        <f>SUM(BI39:BI50)*'Анализ чувствительности'!$B$8/100</f>
        <v>2007.5022842267583</v>
      </c>
      <c r="BJ51" s="98">
        <f>SUM(BJ39:BJ50)*'Анализ чувствительности'!$B$8/100</f>
        <v>2007.5022842267583</v>
      </c>
      <c r="BL51" s="24">
        <f t="shared" si="20"/>
        <v>6814.2774333333327</v>
      </c>
      <c r="BM51" s="24">
        <f t="shared" si="20"/>
        <v>21370.383143999996</v>
      </c>
      <c r="BN51" s="24">
        <f t="shared" si="20"/>
        <v>22019.822188319999</v>
      </c>
      <c r="BO51" s="24">
        <f t="shared" si="20"/>
        <v>22689.160781469589</v>
      </c>
      <c r="BP51" s="24">
        <f t="shared" si="20"/>
        <v>23379.016728788687</v>
      </c>
      <c r="BQ51" s="24">
        <f t="shared" si="20"/>
        <v>16060.018273814068</v>
      </c>
    </row>
    <row r="52" spans="1:71">
      <c r="A52" s="4"/>
      <c r="B52" s="4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L52" s="32"/>
      <c r="BM52" s="32"/>
      <c r="BN52" s="32"/>
      <c r="BO52" s="32"/>
      <c r="BP52" s="32"/>
      <c r="BQ52" s="32"/>
    </row>
    <row r="53" spans="1:71" s="112" customFormat="1" ht="13.15">
      <c r="A53" s="58" t="s">
        <v>38</v>
      </c>
      <c r="B53" s="58"/>
      <c r="C53" s="98">
        <f t="shared" ref="C53:AH53" si="21">(C28+C36+C51)</f>
        <v>1695.3078999999998</v>
      </c>
      <c r="D53" s="98">
        <f t="shared" si="21"/>
        <v>1695.3078999999998</v>
      </c>
      <c r="E53" s="98">
        <f t="shared" si="21"/>
        <v>30621.141233333328</v>
      </c>
      <c r="F53" s="98">
        <f t="shared" si="21"/>
        <v>70327.76695532407</v>
      </c>
      <c r="G53" s="98">
        <f t="shared" si="21"/>
        <v>103967.95008099075</v>
      </c>
      <c r="H53" s="98">
        <f t="shared" si="21"/>
        <v>134340.07508099076</v>
      </c>
      <c r="I53" s="98">
        <f t="shared" si="21"/>
        <v>164712.20008099079</v>
      </c>
      <c r="J53" s="98">
        <f t="shared" si="21"/>
        <v>164712.20008099079</v>
      </c>
      <c r="K53" s="98">
        <f t="shared" si="21"/>
        <v>164712.20008099079</v>
      </c>
      <c r="L53" s="98">
        <f t="shared" si="21"/>
        <v>164712.20008099079</v>
      </c>
      <c r="M53" s="98">
        <f t="shared" si="21"/>
        <v>164712.20008099079</v>
      </c>
      <c r="N53" s="98">
        <f t="shared" si="21"/>
        <v>164712.20008099079</v>
      </c>
      <c r="O53" s="98">
        <f t="shared" si="21"/>
        <v>164712.20008099079</v>
      </c>
      <c r="P53" s="98">
        <f t="shared" si="21"/>
        <v>164712.20008099079</v>
      </c>
      <c r="Q53" s="98">
        <f t="shared" si="21"/>
        <v>164712.20008099079</v>
      </c>
      <c r="R53" s="98">
        <f t="shared" si="21"/>
        <v>164712.20008099079</v>
      </c>
      <c r="S53" s="98">
        <f t="shared" si="21"/>
        <v>172693.22121626075</v>
      </c>
      <c r="T53" s="98">
        <f t="shared" si="21"/>
        <v>172693.22121626075</v>
      </c>
      <c r="U53" s="98">
        <f t="shared" si="21"/>
        <v>172693.22121626075</v>
      </c>
      <c r="V53" s="98">
        <f t="shared" si="21"/>
        <v>172693.22121626075</v>
      </c>
      <c r="W53" s="98">
        <f t="shared" si="21"/>
        <v>172693.22121626075</v>
      </c>
      <c r="X53" s="98">
        <f t="shared" si="21"/>
        <v>172693.22121626075</v>
      </c>
      <c r="Y53" s="98">
        <f t="shared" si="21"/>
        <v>172693.22121626075</v>
      </c>
      <c r="Z53" s="98">
        <f t="shared" si="21"/>
        <v>172693.22121626075</v>
      </c>
      <c r="AA53" s="98">
        <f t="shared" si="21"/>
        <v>172693.22121626075</v>
      </c>
      <c r="AB53" s="98">
        <f t="shared" si="21"/>
        <v>172693.22121626075</v>
      </c>
      <c r="AC53" s="98">
        <f t="shared" si="21"/>
        <v>172693.22121626075</v>
      </c>
      <c r="AD53" s="98">
        <f t="shared" si="21"/>
        <v>172693.22121626075</v>
      </c>
      <c r="AE53" s="98">
        <f t="shared" si="21"/>
        <v>181066.84700221388</v>
      </c>
      <c r="AF53" s="98">
        <f t="shared" si="21"/>
        <v>181066.84700221388</v>
      </c>
      <c r="AG53" s="98">
        <f t="shared" si="21"/>
        <v>181066.84700221388</v>
      </c>
      <c r="AH53" s="98">
        <f t="shared" si="21"/>
        <v>181066.84700221388</v>
      </c>
      <c r="AI53" s="98">
        <f t="shared" ref="AI53:BJ53" si="22">(AI28+AI36+AI51)</f>
        <v>181066.84700221388</v>
      </c>
      <c r="AJ53" s="98">
        <f t="shared" si="22"/>
        <v>181066.84700221388</v>
      </c>
      <c r="AK53" s="98">
        <f t="shared" si="22"/>
        <v>181066.84700221388</v>
      </c>
      <c r="AL53" s="98">
        <f t="shared" si="22"/>
        <v>181066.84700221388</v>
      </c>
      <c r="AM53" s="98">
        <f t="shared" si="22"/>
        <v>181066.84700221388</v>
      </c>
      <c r="AN53" s="98">
        <f t="shared" si="22"/>
        <v>181066.84700221388</v>
      </c>
      <c r="AO53" s="98">
        <f t="shared" si="22"/>
        <v>181066.84700221388</v>
      </c>
      <c r="AP53" s="98">
        <f t="shared" si="22"/>
        <v>181066.84700221388</v>
      </c>
      <c r="AQ53" s="98">
        <f t="shared" si="22"/>
        <v>189852.51427920183</v>
      </c>
      <c r="AR53" s="98">
        <f t="shared" si="22"/>
        <v>189852.51427920183</v>
      </c>
      <c r="AS53" s="98">
        <f t="shared" si="22"/>
        <v>189852.51427920183</v>
      </c>
      <c r="AT53" s="98">
        <f t="shared" si="22"/>
        <v>189852.51427920183</v>
      </c>
      <c r="AU53" s="98">
        <f t="shared" si="22"/>
        <v>189852.51427920183</v>
      </c>
      <c r="AV53" s="98">
        <f t="shared" si="22"/>
        <v>189852.51427920183</v>
      </c>
      <c r="AW53" s="98">
        <f t="shared" si="22"/>
        <v>189852.51427920183</v>
      </c>
      <c r="AX53" s="98">
        <f t="shared" si="22"/>
        <v>189852.51427920183</v>
      </c>
      <c r="AY53" s="98">
        <f t="shared" si="22"/>
        <v>189852.51427920183</v>
      </c>
      <c r="AZ53" s="98">
        <f t="shared" si="22"/>
        <v>189852.51427920183</v>
      </c>
      <c r="BA53" s="98">
        <f t="shared" si="22"/>
        <v>189852.51427920183</v>
      </c>
      <c r="BB53" s="98">
        <f t="shared" si="22"/>
        <v>189852.51427920183</v>
      </c>
      <c r="BC53" s="98">
        <f t="shared" si="22"/>
        <v>199070.62592782857</v>
      </c>
      <c r="BD53" s="98">
        <f t="shared" si="22"/>
        <v>199070.62592782857</v>
      </c>
      <c r="BE53" s="98">
        <f t="shared" si="22"/>
        <v>199070.62592782857</v>
      </c>
      <c r="BF53" s="98">
        <f t="shared" si="22"/>
        <v>199070.62592782857</v>
      </c>
      <c r="BG53" s="98">
        <f t="shared" si="22"/>
        <v>199070.62592782857</v>
      </c>
      <c r="BH53" s="98">
        <f t="shared" si="22"/>
        <v>199070.62592782857</v>
      </c>
      <c r="BI53" s="98">
        <f t="shared" si="22"/>
        <v>199070.62592782857</v>
      </c>
      <c r="BJ53" s="98">
        <f t="shared" si="22"/>
        <v>14483.087111422179</v>
      </c>
      <c r="BL53" s="24">
        <f t="shared" ref="BL53:BQ53" si="23">SUMIF($C$2:$BJ$2,BL$2,$C53:$BJ53)</f>
        <v>104339.5239886574</v>
      </c>
      <c r="BM53" s="24">
        <f t="shared" si="23"/>
        <v>1885430.0259718895</v>
      </c>
      <c r="BN53" s="24">
        <f t="shared" si="23"/>
        <v>2072318.6545951285</v>
      </c>
      <c r="BO53" s="24">
        <f t="shared" si="23"/>
        <v>2172802.1640265663</v>
      </c>
      <c r="BP53" s="24">
        <f t="shared" si="23"/>
        <v>2278230.1713504218</v>
      </c>
      <c r="BQ53" s="24">
        <f t="shared" si="23"/>
        <v>1407977.468606222</v>
      </c>
    </row>
    <row r="54" spans="1:71">
      <c r="A54" s="4"/>
      <c r="B54" s="4"/>
      <c r="BL54" s="32"/>
      <c r="BM54" s="32"/>
      <c r="BN54" s="32"/>
      <c r="BO54" s="6"/>
      <c r="BP54" s="6"/>
      <c r="BQ54" s="6"/>
    </row>
    <row r="55" spans="1:71">
      <c r="A55" s="18" t="s">
        <v>255</v>
      </c>
      <c r="B55" s="4"/>
      <c r="BL55" s="32"/>
      <c r="BM55" s="32"/>
      <c r="BN55" s="32"/>
      <c r="BO55" s="6"/>
      <c r="BP55" s="6"/>
      <c r="BQ55" s="6"/>
    </row>
    <row r="56" spans="1:71">
      <c r="A56" s="30" t="s">
        <v>91</v>
      </c>
      <c r="B56" s="30"/>
      <c r="C56" s="99">
        <f t="shared" ref="C56:L63" si="24">SUMIF($B$8:$B$51,$A56,C$8:C$51)</f>
        <v>1151</v>
      </c>
      <c r="D56" s="99">
        <f t="shared" si="24"/>
        <v>1151</v>
      </c>
      <c r="E56" s="99">
        <f t="shared" si="24"/>
        <v>1151</v>
      </c>
      <c r="F56" s="99">
        <f t="shared" si="24"/>
        <v>7082</v>
      </c>
      <c r="G56" s="99">
        <f t="shared" si="24"/>
        <v>7294.4600000000009</v>
      </c>
      <c r="H56" s="99">
        <f t="shared" si="24"/>
        <v>7294.4600000000009</v>
      </c>
      <c r="I56" s="99">
        <f t="shared" si="24"/>
        <v>7294.4600000000009</v>
      </c>
      <c r="J56" s="99">
        <f t="shared" si="24"/>
        <v>7294.4600000000009</v>
      </c>
      <c r="K56" s="99">
        <f t="shared" si="24"/>
        <v>7294.4600000000009</v>
      </c>
      <c r="L56" s="99">
        <f t="shared" si="24"/>
        <v>7294.4600000000009</v>
      </c>
      <c r="M56" s="99">
        <f t="shared" ref="M56:V63" si="25">SUMIF($B$8:$B$51,$A56,M$8:M$51)</f>
        <v>7294.4600000000009</v>
      </c>
      <c r="N56" s="99">
        <f t="shared" si="25"/>
        <v>7294.4600000000009</v>
      </c>
      <c r="O56" s="99">
        <f t="shared" si="25"/>
        <v>7294.4600000000009</v>
      </c>
      <c r="P56" s="99">
        <f t="shared" si="25"/>
        <v>7294.4600000000009</v>
      </c>
      <c r="Q56" s="99">
        <f t="shared" si="25"/>
        <v>7294.4600000000009</v>
      </c>
      <c r="R56" s="99">
        <f t="shared" si="25"/>
        <v>7294.4600000000009</v>
      </c>
      <c r="S56" s="99">
        <f t="shared" si="25"/>
        <v>7513.2937999999995</v>
      </c>
      <c r="T56" s="99">
        <f t="shared" si="25"/>
        <v>7513.2937999999995</v>
      </c>
      <c r="U56" s="99">
        <f t="shared" si="25"/>
        <v>7513.2937999999995</v>
      </c>
      <c r="V56" s="99">
        <f t="shared" si="25"/>
        <v>7513.2937999999995</v>
      </c>
      <c r="W56" s="99">
        <f t="shared" ref="W56:AF63" si="26">SUMIF($B$8:$B$51,$A56,W$8:W$51)</f>
        <v>7513.2937999999995</v>
      </c>
      <c r="X56" s="99">
        <f t="shared" si="26"/>
        <v>7513.2937999999995</v>
      </c>
      <c r="Y56" s="99">
        <f t="shared" si="26"/>
        <v>7513.2937999999995</v>
      </c>
      <c r="Z56" s="99">
        <f t="shared" si="26"/>
        <v>7513.2937999999995</v>
      </c>
      <c r="AA56" s="99">
        <f t="shared" si="26"/>
        <v>7513.2937999999995</v>
      </c>
      <c r="AB56" s="99">
        <f t="shared" si="26"/>
        <v>7513.2937999999995</v>
      </c>
      <c r="AC56" s="99">
        <f t="shared" si="26"/>
        <v>7513.2937999999995</v>
      </c>
      <c r="AD56" s="99">
        <f t="shared" si="26"/>
        <v>7513.2937999999995</v>
      </c>
      <c r="AE56" s="99">
        <f t="shared" si="26"/>
        <v>7738.6926139999996</v>
      </c>
      <c r="AF56" s="99">
        <f t="shared" si="26"/>
        <v>7738.6926139999996</v>
      </c>
      <c r="AG56" s="99">
        <f t="shared" ref="AG56:AP63" si="27">SUMIF($B$8:$B$51,$A56,AG$8:AG$51)</f>
        <v>7738.6926139999996</v>
      </c>
      <c r="AH56" s="99">
        <f t="shared" si="27"/>
        <v>7738.6926139999996</v>
      </c>
      <c r="AI56" s="99">
        <f t="shared" si="27"/>
        <v>7738.6926139999996</v>
      </c>
      <c r="AJ56" s="99">
        <f t="shared" si="27"/>
        <v>7738.6926139999996</v>
      </c>
      <c r="AK56" s="99">
        <f t="shared" si="27"/>
        <v>7738.6926139999996</v>
      </c>
      <c r="AL56" s="99">
        <f t="shared" si="27"/>
        <v>7738.6926139999996</v>
      </c>
      <c r="AM56" s="99">
        <f t="shared" si="27"/>
        <v>7738.6926139999996</v>
      </c>
      <c r="AN56" s="99">
        <f t="shared" si="27"/>
        <v>7738.6926139999996</v>
      </c>
      <c r="AO56" s="99">
        <f t="shared" si="27"/>
        <v>7738.6926139999996</v>
      </c>
      <c r="AP56" s="99">
        <f t="shared" si="27"/>
        <v>7738.6926139999996</v>
      </c>
      <c r="AQ56" s="99">
        <f t="shared" ref="AQ56:AZ63" si="28">SUMIF($B$8:$B$51,$A56,AQ$8:AQ$51)</f>
        <v>7970.8533924200001</v>
      </c>
      <c r="AR56" s="99">
        <f t="shared" si="28"/>
        <v>7970.8533924200001</v>
      </c>
      <c r="AS56" s="99">
        <f t="shared" si="28"/>
        <v>7970.8533924200001</v>
      </c>
      <c r="AT56" s="99">
        <f t="shared" si="28"/>
        <v>7970.8533924200001</v>
      </c>
      <c r="AU56" s="99">
        <f t="shared" si="28"/>
        <v>7970.8533924200001</v>
      </c>
      <c r="AV56" s="99">
        <f t="shared" si="28"/>
        <v>7970.8533924200001</v>
      </c>
      <c r="AW56" s="99">
        <f t="shared" si="28"/>
        <v>7970.8533924200001</v>
      </c>
      <c r="AX56" s="99">
        <f t="shared" si="28"/>
        <v>7970.8533924200001</v>
      </c>
      <c r="AY56" s="99">
        <f t="shared" si="28"/>
        <v>7970.8533924200001</v>
      </c>
      <c r="AZ56" s="99">
        <f t="shared" si="28"/>
        <v>7970.8533924200001</v>
      </c>
      <c r="BA56" s="99">
        <f t="shared" ref="BA56:BJ63" si="29">SUMIF($B$8:$B$51,$A56,BA$8:BA$51)</f>
        <v>7970.8533924200001</v>
      </c>
      <c r="BB56" s="99">
        <f t="shared" si="29"/>
        <v>7970.8533924200001</v>
      </c>
      <c r="BC56" s="99">
        <f t="shared" si="29"/>
        <v>8209.9789941925992</v>
      </c>
      <c r="BD56" s="99">
        <f t="shared" si="29"/>
        <v>8209.9789941925992</v>
      </c>
      <c r="BE56" s="99">
        <f t="shared" si="29"/>
        <v>8209.9789941925992</v>
      </c>
      <c r="BF56" s="99">
        <f t="shared" si="29"/>
        <v>8209.9789941925992</v>
      </c>
      <c r="BG56" s="99">
        <f t="shared" si="29"/>
        <v>8209.9789941925992</v>
      </c>
      <c r="BH56" s="99">
        <f t="shared" si="29"/>
        <v>8209.9789941925992</v>
      </c>
      <c r="BI56" s="99">
        <f t="shared" si="29"/>
        <v>8209.9789941925992</v>
      </c>
      <c r="BJ56" s="99">
        <f t="shared" si="29"/>
        <v>8209.9789941925992</v>
      </c>
      <c r="BL56" s="247">
        <f t="shared" ref="BL56:BQ64" si="30">SUMIF($C$2:$BJ$2,BL$2,$C56:$BJ56)</f>
        <v>10535</v>
      </c>
      <c r="BM56" s="247">
        <f t="shared" si="30"/>
        <v>87533.520000000019</v>
      </c>
      <c r="BN56" s="247">
        <f t="shared" si="30"/>
        <v>90159.525599999994</v>
      </c>
      <c r="BO56" s="247">
        <f t="shared" si="30"/>
        <v>92864.311367999995</v>
      </c>
      <c r="BP56" s="247">
        <f t="shared" si="30"/>
        <v>95650.240709040008</v>
      </c>
      <c r="BQ56" s="247">
        <f t="shared" si="30"/>
        <v>65679.831953540794</v>
      </c>
      <c r="BR56" s="217">
        <f t="shared" ref="BR56:BR64" si="31">SUM(BL56:BQ56)</f>
        <v>442422.42963058082</v>
      </c>
      <c r="BS56" s="276">
        <f t="shared" ref="BS56:BS63" si="32">BR56/$BR$64</f>
        <v>4.4594099287175358E-2</v>
      </c>
    </row>
    <row r="57" spans="1:71">
      <c r="A57" s="30" t="s">
        <v>223</v>
      </c>
      <c r="B57" s="30"/>
      <c r="C57" s="99">
        <f t="shared" si="24"/>
        <v>494.92999999999995</v>
      </c>
      <c r="D57" s="99">
        <f t="shared" si="24"/>
        <v>494.92999999999995</v>
      </c>
      <c r="E57" s="99">
        <f t="shared" si="24"/>
        <v>494.92999999999995</v>
      </c>
      <c r="F57" s="99">
        <f t="shared" si="24"/>
        <v>3045.2599999999998</v>
      </c>
      <c r="G57" s="99">
        <f t="shared" si="24"/>
        <v>3136.6178</v>
      </c>
      <c r="H57" s="99">
        <f t="shared" si="24"/>
        <v>3136.6178</v>
      </c>
      <c r="I57" s="99">
        <f t="shared" si="24"/>
        <v>3136.6178</v>
      </c>
      <c r="J57" s="99">
        <f t="shared" si="24"/>
        <v>3136.6178</v>
      </c>
      <c r="K57" s="99">
        <f t="shared" si="24"/>
        <v>3136.6178</v>
      </c>
      <c r="L57" s="99">
        <f t="shared" si="24"/>
        <v>3136.6178</v>
      </c>
      <c r="M57" s="99">
        <f t="shared" si="25"/>
        <v>3136.6178</v>
      </c>
      <c r="N57" s="99">
        <f t="shared" si="25"/>
        <v>3136.6178</v>
      </c>
      <c r="O57" s="99">
        <f t="shared" si="25"/>
        <v>3136.6178</v>
      </c>
      <c r="P57" s="99">
        <f t="shared" si="25"/>
        <v>3136.6178</v>
      </c>
      <c r="Q57" s="99">
        <f t="shared" si="25"/>
        <v>3136.6178</v>
      </c>
      <c r="R57" s="99">
        <f t="shared" si="25"/>
        <v>3136.6178</v>
      </c>
      <c r="S57" s="99">
        <f t="shared" si="25"/>
        <v>3230.7163339999997</v>
      </c>
      <c r="T57" s="99">
        <f t="shared" si="25"/>
        <v>3230.7163339999997</v>
      </c>
      <c r="U57" s="99">
        <f t="shared" si="25"/>
        <v>3230.7163339999997</v>
      </c>
      <c r="V57" s="99">
        <f t="shared" si="25"/>
        <v>3230.7163339999997</v>
      </c>
      <c r="W57" s="99">
        <f t="shared" si="26"/>
        <v>3230.7163339999997</v>
      </c>
      <c r="X57" s="99">
        <f t="shared" si="26"/>
        <v>3230.7163339999997</v>
      </c>
      <c r="Y57" s="99">
        <f t="shared" si="26"/>
        <v>3230.7163339999997</v>
      </c>
      <c r="Z57" s="99">
        <f t="shared" si="26"/>
        <v>3230.7163339999997</v>
      </c>
      <c r="AA57" s="99">
        <f t="shared" si="26"/>
        <v>3230.7163339999997</v>
      </c>
      <c r="AB57" s="99">
        <f t="shared" si="26"/>
        <v>3230.7163339999997</v>
      </c>
      <c r="AC57" s="99">
        <f t="shared" si="26"/>
        <v>3230.7163339999997</v>
      </c>
      <c r="AD57" s="99">
        <f t="shared" si="26"/>
        <v>3230.7163339999997</v>
      </c>
      <c r="AE57" s="99">
        <f t="shared" si="26"/>
        <v>3327.6378240200002</v>
      </c>
      <c r="AF57" s="99">
        <f t="shared" si="26"/>
        <v>3327.6378240200002</v>
      </c>
      <c r="AG57" s="99">
        <f t="shared" si="27"/>
        <v>3327.6378240200002</v>
      </c>
      <c r="AH57" s="99">
        <f t="shared" si="27"/>
        <v>3327.6378240200002</v>
      </c>
      <c r="AI57" s="99">
        <f t="shared" si="27"/>
        <v>3327.6378240200002</v>
      </c>
      <c r="AJ57" s="99">
        <f t="shared" si="27"/>
        <v>3327.6378240200002</v>
      </c>
      <c r="AK57" s="99">
        <f t="shared" si="27"/>
        <v>3327.6378240200002</v>
      </c>
      <c r="AL57" s="99">
        <f t="shared" si="27"/>
        <v>3327.6378240200002</v>
      </c>
      <c r="AM57" s="99">
        <f t="shared" si="27"/>
        <v>3327.6378240200002</v>
      </c>
      <c r="AN57" s="99">
        <f t="shared" si="27"/>
        <v>3327.6378240200002</v>
      </c>
      <c r="AO57" s="99">
        <f t="shared" si="27"/>
        <v>3327.6378240200002</v>
      </c>
      <c r="AP57" s="99">
        <f t="shared" si="27"/>
        <v>3327.6378240200002</v>
      </c>
      <c r="AQ57" s="99">
        <f t="shared" si="28"/>
        <v>3427.4669587406001</v>
      </c>
      <c r="AR57" s="99">
        <f t="shared" si="28"/>
        <v>3427.4669587406001</v>
      </c>
      <c r="AS57" s="99">
        <f t="shared" si="28"/>
        <v>3427.4669587406001</v>
      </c>
      <c r="AT57" s="99">
        <f t="shared" si="28"/>
        <v>3427.4669587406001</v>
      </c>
      <c r="AU57" s="99">
        <f t="shared" si="28"/>
        <v>3427.4669587406001</v>
      </c>
      <c r="AV57" s="99">
        <f t="shared" si="28"/>
        <v>3427.4669587406001</v>
      </c>
      <c r="AW57" s="99">
        <f t="shared" si="28"/>
        <v>3427.4669587406001</v>
      </c>
      <c r="AX57" s="99">
        <f t="shared" si="28"/>
        <v>3427.4669587406001</v>
      </c>
      <c r="AY57" s="99">
        <f t="shared" si="28"/>
        <v>3427.4669587406001</v>
      </c>
      <c r="AZ57" s="99">
        <f t="shared" si="28"/>
        <v>3427.4669587406001</v>
      </c>
      <c r="BA57" s="99">
        <f t="shared" si="29"/>
        <v>3427.4669587406001</v>
      </c>
      <c r="BB57" s="99">
        <f t="shared" si="29"/>
        <v>3427.4669587406001</v>
      </c>
      <c r="BC57" s="99">
        <f t="shared" si="29"/>
        <v>3530.2909675028177</v>
      </c>
      <c r="BD57" s="99">
        <f t="shared" si="29"/>
        <v>3530.2909675028177</v>
      </c>
      <c r="BE57" s="99">
        <f t="shared" si="29"/>
        <v>3530.2909675028177</v>
      </c>
      <c r="BF57" s="99">
        <f t="shared" si="29"/>
        <v>3530.2909675028177</v>
      </c>
      <c r="BG57" s="99">
        <f t="shared" si="29"/>
        <v>3530.2909675028177</v>
      </c>
      <c r="BH57" s="99">
        <f t="shared" si="29"/>
        <v>3530.2909675028177</v>
      </c>
      <c r="BI57" s="99">
        <f t="shared" si="29"/>
        <v>3530.2909675028177</v>
      </c>
      <c r="BJ57" s="99">
        <f t="shared" si="29"/>
        <v>3530.2909675028177</v>
      </c>
      <c r="BL57" s="247">
        <f t="shared" si="30"/>
        <v>4530.0499999999993</v>
      </c>
      <c r="BM57" s="247">
        <f t="shared" si="30"/>
        <v>37639.4136</v>
      </c>
      <c r="BN57" s="247">
        <f t="shared" si="30"/>
        <v>38768.596008</v>
      </c>
      <c r="BO57" s="247">
        <f t="shared" si="30"/>
        <v>39931.653888239998</v>
      </c>
      <c r="BP57" s="247">
        <f t="shared" si="30"/>
        <v>41129.6035048872</v>
      </c>
      <c r="BQ57" s="247">
        <f t="shared" si="30"/>
        <v>28242.327740022538</v>
      </c>
      <c r="BR57" s="217">
        <f t="shared" si="31"/>
        <v>190241.64474114974</v>
      </c>
      <c r="BS57" s="276">
        <f t="shared" si="32"/>
        <v>1.9175462693485402E-2</v>
      </c>
    </row>
    <row r="58" spans="1:71">
      <c r="A58" s="30" t="s">
        <v>213</v>
      </c>
      <c r="B58" s="30"/>
      <c r="C58" s="99">
        <f t="shared" si="24"/>
        <v>0</v>
      </c>
      <c r="D58" s="99">
        <f t="shared" si="24"/>
        <v>0</v>
      </c>
      <c r="E58" s="99">
        <f t="shared" si="24"/>
        <v>28083.333333333332</v>
      </c>
      <c r="F58" s="99">
        <f t="shared" si="24"/>
        <v>56166.666666666664</v>
      </c>
      <c r="G58" s="99">
        <f t="shared" si="24"/>
        <v>88462.500000000015</v>
      </c>
      <c r="H58" s="99">
        <f t="shared" si="24"/>
        <v>117950.00000000001</v>
      </c>
      <c r="I58" s="99">
        <f t="shared" si="24"/>
        <v>147437.50000000003</v>
      </c>
      <c r="J58" s="99">
        <f t="shared" si="24"/>
        <v>147437.50000000003</v>
      </c>
      <c r="K58" s="99">
        <f t="shared" si="24"/>
        <v>147437.50000000003</v>
      </c>
      <c r="L58" s="99">
        <f t="shared" si="24"/>
        <v>147437.50000000003</v>
      </c>
      <c r="M58" s="99">
        <f t="shared" si="25"/>
        <v>147437.50000000003</v>
      </c>
      <c r="N58" s="99">
        <f t="shared" si="25"/>
        <v>147437.50000000003</v>
      </c>
      <c r="O58" s="99">
        <f t="shared" si="25"/>
        <v>147437.50000000003</v>
      </c>
      <c r="P58" s="99">
        <f t="shared" si="25"/>
        <v>147437.50000000003</v>
      </c>
      <c r="Q58" s="99">
        <f t="shared" si="25"/>
        <v>147437.50000000003</v>
      </c>
      <c r="R58" s="99">
        <f t="shared" si="25"/>
        <v>147437.50000000003</v>
      </c>
      <c r="S58" s="99">
        <f t="shared" si="25"/>
        <v>154809.37500000003</v>
      </c>
      <c r="T58" s="99">
        <f t="shared" si="25"/>
        <v>154809.37500000003</v>
      </c>
      <c r="U58" s="99">
        <f t="shared" si="25"/>
        <v>154809.37500000003</v>
      </c>
      <c r="V58" s="99">
        <f t="shared" si="25"/>
        <v>154809.37500000003</v>
      </c>
      <c r="W58" s="99">
        <f t="shared" si="26"/>
        <v>154809.37500000003</v>
      </c>
      <c r="X58" s="99">
        <f t="shared" si="26"/>
        <v>154809.37500000003</v>
      </c>
      <c r="Y58" s="99">
        <f t="shared" si="26"/>
        <v>154809.37500000003</v>
      </c>
      <c r="Z58" s="99">
        <f t="shared" si="26"/>
        <v>154809.37500000003</v>
      </c>
      <c r="AA58" s="99">
        <f t="shared" si="26"/>
        <v>154809.37500000003</v>
      </c>
      <c r="AB58" s="99">
        <f t="shared" si="26"/>
        <v>154809.37500000003</v>
      </c>
      <c r="AC58" s="99">
        <f t="shared" si="26"/>
        <v>154809.37500000003</v>
      </c>
      <c r="AD58" s="99">
        <f t="shared" si="26"/>
        <v>154809.37500000003</v>
      </c>
      <c r="AE58" s="99">
        <f t="shared" si="26"/>
        <v>162549.84375000003</v>
      </c>
      <c r="AF58" s="99">
        <f t="shared" si="26"/>
        <v>162549.84375000003</v>
      </c>
      <c r="AG58" s="99">
        <f t="shared" si="27"/>
        <v>162549.84375000003</v>
      </c>
      <c r="AH58" s="99">
        <f t="shared" si="27"/>
        <v>162549.84375000003</v>
      </c>
      <c r="AI58" s="99">
        <f t="shared" si="27"/>
        <v>162549.84375000003</v>
      </c>
      <c r="AJ58" s="99">
        <f t="shared" si="27"/>
        <v>162549.84375000003</v>
      </c>
      <c r="AK58" s="99">
        <f t="shared" si="27"/>
        <v>162549.84375000003</v>
      </c>
      <c r="AL58" s="99">
        <f t="shared" si="27"/>
        <v>162549.84375000003</v>
      </c>
      <c r="AM58" s="99">
        <f t="shared" si="27"/>
        <v>162549.84375000003</v>
      </c>
      <c r="AN58" s="99">
        <f t="shared" si="27"/>
        <v>162549.84375000003</v>
      </c>
      <c r="AO58" s="99">
        <f t="shared" si="27"/>
        <v>162549.84375000003</v>
      </c>
      <c r="AP58" s="99">
        <f t="shared" si="27"/>
        <v>162549.84375000003</v>
      </c>
      <c r="AQ58" s="99">
        <f t="shared" si="28"/>
        <v>170677.33593750006</v>
      </c>
      <c r="AR58" s="99">
        <f t="shared" si="28"/>
        <v>170677.33593750006</v>
      </c>
      <c r="AS58" s="99">
        <f t="shared" si="28"/>
        <v>170677.33593750006</v>
      </c>
      <c r="AT58" s="99">
        <f t="shared" si="28"/>
        <v>170677.33593750006</v>
      </c>
      <c r="AU58" s="99">
        <f t="shared" si="28"/>
        <v>170677.33593750006</v>
      </c>
      <c r="AV58" s="99">
        <f t="shared" si="28"/>
        <v>170677.33593750006</v>
      </c>
      <c r="AW58" s="99">
        <f t="shared" si="28"/>
        <v>170677.33593750006</v>
      </c>
      <c r="AX58" s="99">
        <f t="shared" si="28"/>
        <v>170677.33593750006</v>
      </c>
      <c r="AY58" s="99">
        <f t="shared" si="28"/>
        <v>170677.33593750006</v>
      </c>
      <c r="AZ58" s="99">
        <f t="shared" si="28"/>
        <v>170677.33593750006</v>
      </c>
      <c r="BA58" s="99">
        <f t="shared" si="29"/>
        <v>170677.33593750006</v>
      </c>
      <c r="BB58" s="99">
        <f t="shared" si="29"/>
        <v>170677.33593750006</v>
      </c>
      <c r="BC58" s="99">
        <f t="shared" si="29"/>
        <v>179211.20273437511</v>
      </c>
      <c r="BD58" s="99">
        <f t="shared" si="29"/>
        <v>179211.20273437511</v>
      </c>
      <c r="BE58" s="99">
        <f t="shared" si="29"/>
        <v>179211.20273437511</v>
      </c>
      <c r="BF58" s="99">
        <f t="shared" si="29"/>
        <v>179211.20273437511</v>
      </c>
      <c r="BG58" s="99">
        <f t="shared" si="29"/>
        <v>179211.20273437511</v>
      </c>
      <c r="BH58" s="99">
        <f t="shared" si="29"/>
        <v>179211.20273437511</v>
      </c>
      <c r="BI58" s="99">
        <f t="shared" si="29"/>
        <v>179211.20273437511</v>
      </c>
      <c r="BJ58" s="99">
        <f t="shared" si="29"/>
        <v>0</v>
      </c>
      <c r="BL58" s="247">
        <f t="shared" si="30"/>
        <v>84250</v>
      </c>
      <c r="BM58" s="247">
        <f t="shared" si="30"/>
        <v>1680787.5000000002</v>
      </c>
      <c r="BN58" s="247">
        <f t="shared" si="30"/>
        <v>1857712.5000000002</v>
      </c>
      <c r="BO58" s="247">
        <f t="shared" si="30"/>
        <v>1950598.1250000002</v>
      </c>
      <c r="BP58" s="247">
        <f t="shared" si="30"/>
        <v>2048128.0312500002</v>
      </c>
      <c r="BQ58" s="247">
        <f t="shared" si="30"/>
        <v>1254478.4191406257</v>
      </c>
      <c r="BR58" s="217">
        <f t="shared" si="31"/>
        <v>8875954.5753906257</v>
      </c>
      <c r="BS58" s="276">
        <f t="shared" si="32"/>
        <v>0.89465445939061106</v>
      </c>
    </row>
    <row r="59" spans="1:71">
      <c r="A59" s="30" t="s">
        <v>224</v>
      </c>
      <c r="B59" s="30"/>
      <c r="C59" s="99">
        <f t="shared" si="24"/>
        <v>0</v>
      </c>
      <c r="D59" s="99">
        <f t="shared" si="24"/>
        <v>0</v>
      </c>
      <c r="E59" s="99">
        <f t="shared" si="24"/>
        <v>0</v>
      </c>
      <c r="F59" s="99">
        <f t="shared" si="24"/>
        <v>41.666666666666671</v>
      </c>
      <c r="G59" s="99">
        <f t="shared" si="24"/>
        <v>43.750000000000007</v>
      </c>
      <c r="H59" s="99">
        <f t="shared" si="24"/>
        <v>43.750000000000007</v>
      </c>
      <c r="I59" s="99">
        <f t="shared" si="24"/>
        <v>43.750000000000007</v>
      </c>
      <c r="J59" s="99">
        <f t="shared" si="24"/>
        <v>43.750000000000007</v>
      </c>
      <c r="K59" s="99">
        <f t="shared" si="24"/>
        <v>43.750000000000007</v>
      </c>
      <c r="L59" s="99">
        <f t="shared" si="24"/>
        <v>43.750000000000007</v>
      </c>
      <c r="M59" s="99">
        <f t="shared" si="25"/>
        <v>43.750000000000007</v>
      </c>
      <c r="N59" s="99">
        <f t="shared" si="25"/>
        <v>43.750000000000007</v>
      </c>
      <c r="O59" s="99">
        <f t="shared" si="25"/>
        <v>43.750000000000007</v>
      </c>
      <c r="P59" s="99">
        <f t="shared" si="25"/>
        <v>43.750000000000007</v>
      </c>
      <c r="Q59" s="99">
        <f t="shared" si="25"/>
        <v>43.750000000000007</v>
      </c>
      <c r="R59" s="99">
        <f t="shared" si="25"/>
        <v>43.750000000000007</v>
      </c>
      <c r="S59" s="99">
        <f t="shared" si="25"/>
        <v>45.937500000000007</v>
      </c>
      <c r="T59" s="99">
        <f t="shared" si="25"/>
        <v>45.937500000000007</v>
      </c>
      <c r="U59" s="99">
        <f t="shared" si="25"/>
        <v>45.937500000000007</v>
      </c>
      <c r="V59" s="99">
        <f t="shared" si="25"/>
        <v>45.937500000000007</v>
      </c>
      <c r="W59" s="99">
        <f t="shared" si="26"/>
        <v>45.937500000000007</v>
      </c>
      <c r="X59" s="99">
        <f t="shared" si="26"/>
        <v>45.937500000000007</v>
      </c>
      <c r="Y59" s="99">
        <f t="shared" si="26"/>
        <v>45.937500000000007</v>
      </c>
      <c r="Z59" s="99">
        <f t="shared" si="26"/>
        <v>45.937500000000007</v>
      </c>
      <c r="AA59" s="99">
        <f t="shared" si="26"/>
        <v>45.937500000000007</v>
      </c>
      <c r="AB59" s="99">
        <f t="shared" si="26"/>
        <v>45.937500000000007</v>
      </c>
      <c r="AC59" s="99">
        <f t="shared" si="26"/>
        <v>45.937500000000007</v>
      </c>
      <c r="AD59" s="99">
        <f t="shared" si="26"/>
        <v>45.937500000000007</v>
      </c>
      <c r="AE59" s="99">
        <f t="shared" si="26"/>
        <v>48.234375000000007</v>
      </c>
      <c r="AF59" s="99">
        <f t="shared" si="26"/>
        <v>48.234375000000007</v>
      </c>
      <c r="AG59" s="99">
        <f t="shared" si="27"/>
        <v>48.234375000000007</v>
      </c>
      <c r="AH59" s="99">
        <f t="shared" si="27"/>
        <v>48.234375000000007</v>
      </c>
      <c r="AI59" s="99">
        <f t="shared" si="27"/>
        <v>48.234375000000007</v>
      </c>
      <c r="AJ59" s="99">
        <f t="shared" si="27"/>
        <v>48.234375000000007</v>
      </c>
      <c r="AK59" s="99">
        <f t="shared" si="27"/>
        <v>48.234375000000007</v>
      </c>
      <c r="AL59" s="99">
        <f t="shared" si="27"/>
        <v>48.234375000000007</v>
      </c>
      <c r="AM59" s="99">
        <f t="shared" si="27"/>
        <v>48.234375000000007</v>
      </c>
      <c r="AN59" s="99">
        <f t="shared" si="27"/>
        <v>48.234375000000007</v>
      </c>
      <c r="AO59" s="99">
        <f t="shared" si="27"/>
        <v>48.234375000000007</v>
      </c>
      <c r="AP59" s="99">
        <f t="shared" si="27"/>
        <v>48.234375000000007</v>
      </c>
      <c r="AQ59" s="99">
        <f t="shared" si="28"/>
        <v>50.646093750000013</v>
      </c>
      <c r="AR59" s="99">
        <f t="shared" si="28"/>
        <v>50.646093750000013</v>
      </c>
      <c r="AS59" s="99">
        <f t="shared" si="28"/>
        <v>50.646093750000013</v>
      </c>
      <c r="AT59" s="99">
        <f t="shared" si="28"/>
        <v>50.646093750000013</v>
      </c>
      <c r="AU59" s="99">
        <f t="shared" si="28"/>
        <v>50.646093750000013</v>
      </c>
      <c r="AV59" s="99">
        <f t="shared" si="28"/>
        <v>50.646093750000013</v>
      </c>
      <c r="AW59" s="99">
        <f t="shared" si="28"/>
        <v>50.646093750000013</v>
      </c>
      <c r="AX59" s="99">
        <f t="shared" si="28"/>
        <v>50.646093750000013</v>
      </c>
      <c r="AY59" s="99">
        <f t="shared" si="28"/>
        <v>50.646093750000013</v>
      </c>
      <c r="AZ59" s="99">
        <f t="shared" si="28"/>
        <v>50.646093750000013</v>
      </c>
      <c r="BA59" s="99">
        <f t="shared" si="29"/>
        <v>50.646093750000013</v>
      </c>
      <c r="BB59" s="99">
        <f t="shared" si="29"/>
        <v>50.646093750000013</v>
      </c>
      <c r="BC59" s="99">
        <f t="shared" si="29"/>
        <v>53.178398437500022</v>
      </c>
      <c r="BD59" s="99">
        <f t="shared" si="29"/>
        <v>53.178398437500022</v>
      </c>
      <c r="BE59" s="99">
        <f t="shared" si="29"/>
        <v>53.178398437500022</v>
      </c>
      <c r="BF59" s="99">
        <f t="shared" si="29"/>
        <v>53.178398437500022</v>
      </c>
      <c r="BG59" s="99">
        <f t="shared" si="29"/>
        <v>53.178398437500022</v>
      </c>
      <c r="BH59" s="99">
        <f t="shared" si="29"/>
        <v>53.178398437500022</v>
      </c>
      <c r="BI59" s="99">
        <f t="shared" si="29"/>
        <v>53.178398437500022</v>
      </c>
      <c r="BJ59" s="99">
        <f t="shared" si="29"/>
        <v>53.178398437500022</v>
      </c>
      <c r="BL59" s="247">
        <f t="shared" si="30"/>
        <v>41.666666666666671</v>
      </c>
      <c r="BM59" s="247">
        <f t="shared" si="30"/>
        <v>525.00000000000011</v>
      </c>
      <c r="BN59" s="247">
        <f t="shared" si="30"/>
        <v>551.25000000000011</v>
      </c>
      <c r="BO59" s="247">
        <f t="shared" si="30"/>
        <v>578.81250000000011</v>
      </c>
      <c r="BP59" s="247">
        <f t="shared" si="30"/>
        <v>607.75312500000018</v>
      </c>
      <c r="BQ59" s="247">
        <f t="shared" si="30"/>
        <v>425.42718750000029</v>
      </c>
      <c r="BR59" s="217">
        <f t="shared" si="31"/>
        <v>2729.9094791666676</v>
      </c>
      <c r="BS59" s="276">
        <f t="shared" si="32"/>
        <v>2.7516203113980831E-4</v>
      </c>
    </row>
    <row r="60" spans="1:71">
      <c r="A60" s="30" t="s">
        <v>226</v>
      </c>
      <c r="B60" s="30"/>
      <c r="C60" s="99">
        <f t="shared" si="24"/>
        <v>0</v>
      </c>
      <c r="D60" s="99">
        <f t="shared" si="24"/>
        <v>0</v>
      </c>
      <c r="E60" s="99">
        <f t="shared" si="24"/>
        <v>0</v>
      </c>
      <c r="F60" s="99">
        <f t="shared" si="24"/>
        <v>974</v>
      </c>
      <c r="G60" s="99">
        <f t="shared" si="24"/>
        <v>1022.7</v>
      </c>
      <c r="H60" s="99">
        <f t="shared" si="24"/>
        <v>1022.7</v>
      </c>
      <c r="I60" s="99">
        <f t="shared" si="24"/>
        <v>1022.7</v>
      </c>
      <c r="J60" s="99">
        <f t="shared" si="24"/>
        <v>1022.7</v>
      </c>
      <c r="K60" s="99">
        <f t="shared" si="24"/>
        <v>1022.7</v>
      </c>
      <c r="L60" s="99">
        <f t="shared" si="24"/>
        <v>1022.7</v>
      </c>
      <c r="M60" s="99">
        <f t="shared" si="25"/>
        <v>1022.7</v>
      </c>
      <c r="N60" s="99">
        <f t="shared" si="25"/>
        <v>1022.7</v>
      </c>
      <c r="O60" s="99">
        <f t="shared" si="25"/>
        <v>1022.7</v>
      </c>
      <c r="P60" s="99">
        <f t="shared" si="25"/>
        <v>1022.7</v>
      </c>
      <c r="Q60" s="99">
        <f t="shared" si="25"/>
        <v>1022.7</v>
      </c>
      <c r="R60" s="99">
        <f t="shared" si="25"/>
        <v>1022.7</v>
      </c>
      <c r="S60" s="99">
        <f t="shared" si="25"/>
        <v>1073.835</v>
      </c>
      <c r="T60" s="99">
        <f t="shared" si="25"/>
        <v>1073.835</v>
      </c>
      <c r="U60" s="99">
        <f t="shared" si="25"/>
        <v>1073.835</v>
      </c>
      <c r="V60" s="99">
        <f t="shared" si="25"/>
        <v>1073.835</v>
      </c>
      <c r="W60" s="99">
        <f t="shared" si="26"/>
        <v>1073.835</v>
      </c>
      <c r="X60" s="99">
        <f t="shared" si="26"/>
        <v>1073.835</v>
      </c>
      <c r="Y60" s="99">
        <f t="shared" si="26"/>
        <v>1073.835</v>
      </c>
      <c r="Z60" s="99">
        <f t="shared" si="26"/>
        <v>1073.835</v>
      </c>
      <c r="AA60" s="99">
        <f t="shared" si="26"/>
        <v>1073.835</v>
      </c>
      <c r="AB60" s="99">
        <f t="shared" si="26"/>
        <v>1073.835</v>
      </c>
      <c r="AC60" s="99">
        <f t="shared" si="26"/>
        <v>1073.835</v>
      </c>
      <c r="AD60" s="99">
        <f t="shared" si="26"/>
        <v>1073.835</v>
      </c>
      <c r="AE60" s="99">
        <f t="shared" si="26"/>
        <v>1127.5267500000002</v>
      </c>
      <c r="AF60" s="99">
        <f t="shared" si="26"/>
        <v>1127.5267500000002</v>
      </c>
      <c r="AG60" s="99">
        <f t="shared" si="27"/>
        <v>1127.5267500000002</v>
      </c>
      <c r="AH60" s="99">
        <f t="shared" si="27"/>
        <v>1127.5267500000002</v>
      </c>
      <c r="AI60" s="99">
        <f t="shared" si="27"/>
        <v>1127.5267500000002</v>
      </c>
      <c r="AJ60" s="99">
        <f t="shared" si="27"/>
        <v>1127.5267500000002</v>
      </c>
      <c r="AK60" s="99">
        <f t="shared" si="27"/>
        <v>1127.5267500000002</v>
      </c>
      <c r="AL60" s="99">
        <f t="shared" si="27"/>
        <v>1127.5267500000002</v>
      </c>
      <c r="AM60" s="99">
        <f t="shared" si="27"/>
        <v>1127.5267500000002</v>
      </c>
      <c r="AN60" s="99">
        <f t="shared" si="27"/>
        <v>1127.5267500000002</v>
      </c>
      <c r="AO60" s="99">
        <f t="shared" si="27"/>
        <v>1127.5267500000002</v>
      </c>
      <c r="AP60" s="99">
        <f t="shared" si="27"/>
        <v>1127.5267500000002</v>
      </c>
      <c r="AQ60" s="99">
        <f t="shared" si="28"/>
        <v>1183.9030875000001</v>
      </c>
      <c r="AR60" s="99">
        <f t="shared" si="28"/>
        <v>1183.9030875000001</v>
      </c>
      <c r="AS60" s="99">
        <f t="shared" si="28"/>
        <v>1183.9030875000001</v>
      </c>
      <c r="AT60" s="99">
        <f t="shared" si="28"/>
        <v>1183.9030875000001</v>
      </c>
      <c r="AU60" s="99">
        <f t="shared" si="28"/>
        <v>1183.9030875000001</v>
      </c>
      <c r="AV60" s="99">
        <f t="shared" si="28"/>
        <v>1183.9030875000001</v>
      </c>
      <c r="AW60" s="99">
        <f t="shared" si="28"/>
        <v>1183.9030875000001</v>
      </c>
      <c r="AX60" s="99">
        <f t="shared" si="28"/>
        <v>1183.9030875000001</v>
      </c>
      <c r="AY60" s="99">
        <f t="shared" si="28"/>
        <v>1183.9030875000001</v>
      </c>
      <c r="AZ60" s="99">
        <f t="shared" si="28"/>
        <v>1183.9030875000001</v>
      </c>
      <c r="BA60" s="99">
        <f t="shared" si="29"/>
        <v>1183.9030875000001</v>
      </c>
      <c r="BB60" s="99">
        <f t="shared" si="29"/>
        <v>1183.9030875000001</v>
      </c>
      <c r="BC60" s="99">
        <f t="shared" si="29"/>
        <v>1243.0982418750002</v>
      </c>
      <c r="BD60" s="99">
        <f t="shared" si="29"/>
        <v>1243.0982418750002</v>
      </c>
      <c r="BE60" s="99">
        <f t="shared" si="29"/>
        <v>1243.0982418750002</v>
      </c>
      <c r="BF60" s="99">
        <f t="shared" si="29"/>
        <v>1243.0982418750002</v>
      </c>
      <c r="BG60" s="99">
        <f t="shared" si="29"/>
        <v>1243.0982418750002</v>
      </c>
      <c r="BH60" s="99">
        <f t="shared" si="29"/>
        <v>1243.0982418750002</v>
      </c>
      <c r="BI60" s="99">
        <f t="shared" si="29"/>
        <v>1243.0982418750002</v>
      </c>
      <c r="BJ60" s="99">
        <f t="shared" si="29"/>
        <v>1243.0982418750002</v>
      </c>
      <c r="BL60" s="247">
        <f t="shared" si="30"/>
        <v>974</v>
      </c>
      <c r="BM60" s="247">
        <f t="shared" si="30"/>
        <v>12272.400000000001</v>
      </c>
      <c r="BN60" s="247">
        <f t="shared" si="30"/>
        <v>12886.019999999997</v>
      </c>
      <c r="BO60" s="247">
        <f t="shared" si="30"/>
        <v>13530.321000000005</v>
      </c>
      <c r="BP60" s="247">
        <f t="shared" si="30"/>
        <v>14206.837050000004</v>
      </c>
      <c r="BQ60" s="247">
        <f t="shared" si="30"/>
        <v>9944.7859350000017</v>
      </c>
      <c r="BR60" s="217">
        <f t="shared" si="31"/>
        <v>63814.363985000004</v>
      </c>
      <c r="BS60" s="276">
        <f t="shared" si="32"/>
        <v>6.4321876399241577E-3</v>
      </c>
    </row>
    <row r="61" spans="1:71">
      <c r="A61" s="30" t="s">
        <v>225</v>
      </c>
      <c r="B61" s="30"/>
      <c r="C61" s="99">
        <f t="shared" si="24"/>
        <v>0</v>
      </c>
      <c r="D61" s="99">
        <f t="shared" si="24"/>
        <v>0</v>
      </c>
      <c r="E61" s="99">
        <f t="shared" si="24"/>
        <v>0</v>
      </c>
      <c r="F61" s="99">
        <f t="shared" si="24"/>
        <v>166.66666666666669</v>
      </c>
      <c r="G61" s="99">
        <f t="shared" si="24"/>
        <v>175</v>
      </c>
      <c r="H61" s="99">
        <f t="shared" si="24"/>
        <v>175</v>
      </c>
      <c r="I61" s="99">
        <f t="shared" si="24"/>
        <v>175</v>
      </c>
      <c r="J61" s="99">
        <f t="shared" si="24"/>
        <v>175</v>
      </c>
      <c r="K61" s="99">
        <f t="shared" si="24"/>
        <v>175</v>
      </c>
      <c r="L61" s="99">
        <f t="shared" si="24"/>
        <v>175</v>
      </c>
      <c r="M61" s="99">
        <f t="shared" si="25"/>
        <v>175</v>
      </c>
      <c r="N61" s="99">
        <f t="shared" si="25"/>
        <v>175</v>
      </c>
      <c r="O61" s="99">
        <f t="shared" si="25"/>
        <v>175</v>
      </c>
      <c r="P61" s="99">
        <f t="shared" si="25"/>
        <v>175</v>
      </c>
      <c r="Q61" s="99">
        <f t="shared" si="25"/>
        <v>175</v>
      </c>
      <c r="R61" s="99">
        <f t="shared" si="25"/>
        <v>175</v>
      </c>
      <c r="S61" s="99">
        <f t="shared" si="25"/>
        <v>183.75</v>
      </c>
      <c r="T61" s="99">
        <f t="shared" si="25"/>
        <v>183.75</v>
      </c>
      <c r="U61" s="99">
        <f t="shared" si="25"/>
        <v>183.75</v>
      </c>
      <c r="V61" s="99">
        <f t="shared" si="25"/>
        <v>183.75</v>
      </c>
      <c r="W61" s="99">
        <f t="shared" si="26"/>
        <v>183.75</v>
      </c>
      <c r="X61" s="99">
        <f t="shared" si="26"/>
        <v>183.75</v>
      </c>
      <c r="Y61" s="99">
        <f t="shared" si="26"/>
        <v>183.75</v>
      </c>
      <c r="Z61" s="99">
        <f t="shared" si="26"/>
        <v>183.75</v>
      </c>
      <c r="AA61" s="99">
        <f t="shared" si="26"/>
        <v>183.75</v>
      </c>
      <c r="AB61" s="99">
        <f t="shared" si="26"/>
        <v>183.75</v>
      </c>
      <c r="AC61" s="99">
        <f t="shared" si="26"/>
        <v>183.75</v>
      </c>
      <c r="AD61" s="99">
        <f t="shared" si="26"/>
        <v>183.75</v>
      </c>
      <c r="AE61" s="99">
        <f t="shared" si="26"/>
        <v>192.93750000000003</v>
      </c>
      <c r="AF61" s="99">
        <f t="shared" si="26"/>
        <v>192.93750000000003</v>
      </c>
      <c r="AG61" s="99">
        <f t="shared" si="27"/>
        <v>192.93750000000003</v>
      </c>
      <c r="AH61" s="99">
        <f t="shared" si="27"/>
        <v>192.93750000000003</v>
      </c>
      <c r="AI61" s="99">
        <f t="shared" si="27"/>
        <v>192.93750000000003</v>
      </c>
      <c r="AJ61" s="99">
        <f t="shared" si="27"/>
        <v>192.93750000000003</v>
      </c>
      <c r="AK61" s="99">
        <f t="shared" si="27"/>
        <v>192.93750000000003</v>
      </c>
      <c r="AL61" s="99">
        <f t="shared" si="27"/>
        <v>192.93750000000003</v>
      </c>
      <c r="AM61" s="99">
        <f t="shared" si="27"/>
        <v>192.93750000000003</v>
      </c>
      <c r="AN61" s="99">
        <f t="shared" si="27"/>
        <v>192.93750000000003</v>
      </c>
      <c r="AO61" s="99">
        <f t="shared" si="27"/>
        <v>192.93750000000003</v>
      </c>
      <c r="AP61" s="99">
        <f t="shared" si="27"/>
        <v>192.93750000000003</v>
      </c>
      <c r="AQ61" s="99">
        <f t="shared" si="28"/>
        <v>202.58437500000002</v>
      </c>
      <c r="AR61" s="99">
        <f t="shared" si="28"/>
        <v>202.58437500000002</v>
      </c>
      <c r="AS61" s="99">
        <f t="shared" si="28"/>
        <v>202.58437500000002</v>
      </c>
      <c r="AT61" s="99">
        <f t="shared" si="28"/>
        <v>202.58437500000002</v>
      </c>
      <c r="AU61" s="99">
        <f t="shared" si="28"/>
        <v>202.58437500000002</v>
      </c>
      <c r="AV61" s="99">
        <f t="shared" si="28"/>
        <v>202.58437500000002</v>
      </c>
      <c r="AW61" s="99">
        <f t="shared" si="28"/>
        <v>202.58437500000002</v>
      </c>
      <c r="AX61" s="99">
        <f t="shared" si="28"/>
        <v>202.58437500000002</v>
      </c>
      <c r="AY61" s="99">
        <f t="shared" si="28"/>
        <v>202.58437500000002</v>
      </c>
      <c r="AZ61" s="99">
        <f t="shared" si="28"/>
        <v>202.58437500000002</v>
      </c>
      <c r="BA61" s="99">
        <f t="shared" si="29"/>
        <v>202.58437500000002</v>
      </c>
      <c r="BB61" s="99">
        <f t="shared" si="29"/>
        <v>202.58437500000002</v>
      </c>
      <c r="BC61" s="99">
        <f t="shared" si="29"/>
        <v>212.71359375000009</v>
      </c>
      <c r="BD61" s="99">
        <f t="shared" si="29"/>
        <v>212.71359375000009</v>
      </c>
      <c r="BE61" s="99">
        <f t="shared" si="29"/>
        <v>212.71359375000009</v>
      </c>
      <c r="BF61" s="99">
        <f t="shared" si="29"/>
        <v>212.71359375000009</v>
      </c>
      <c r="BG61" s="99">
        <f t="shared" si="29"/>
        <v>212.71359375000009</v>
      </c>
      <c r="BH61" s="99">
        <f t="shared" si="29"/>
        <v>212.71359375000009</v>
      </c>
      <c r="BI61" s="99">
        <f t="shared" si="29"/>
        <v>212.71359375000009</v>
      </c>
      <c r="BJ61" s="99">
        <f t="shared" si="29"/>
        <v>212.71359375000009</v>
      </c>
      <c r="BL61" s="247">
        <f t="shared" si="30"/>
        <v>166.66666666666669</v>
      </c>
      <c r="BM61" s="247">
        <f t="shared" si="30"/>
        <v>2100</v>
      </c>
      <c r="BN61" s="247">
        <f t="shared" si="30"/>
        <v>2205</v>
      </c>
      <c r="BO61" s="247">
        <f t="shared" si="30"/>
        <v>2315.2500000000005</v>
      </c>
      <c r="BP61" s="247">
        <f t="shared" si="30"/>
        <v>2431.0124999999998</v>
      </c>
      <c r="BQ61" s="247">
        <f t="shared" si="30"/>
        <v>1701.7087500000011</v>
      </c>
      <c r="BR61" s="217">
        <f t="shared" si="31"/>
        <v>10919.637916666667</v>
      </c>
      <c r="BS61" s="276">
        <f t="shared" si="32"/>
        <v>1.100648124559233E-3</v>
      </c>
    </row>
    <row r="62" spans="1:71">
      <c r="A62" s="30" t="s">
        <v>221</v>
      </c>
      <c r="B62" s="30"/>
      <c r="C62" s="99">
        <f t="shared" si="24"/>
        <v>49.377899999999997</v>
      </c>
      <c r="D62" s="99">
        <f t="shared" si="24"/>
        <v>49.377899999999997</v>
      </c>
      <c r="E62" s="99">
        <f t="shared" si="24"/>
        <v>891.87789999999984</v>
      </c>
      <c r="F62" s="99">
        <f t="shared" si="24"/>
        <v>2080.4648951388881</v>
      </c>
      <c r="G62" s="99">
        <f t="shared" si="24"/>
        <v>3061.8802208055558</v>
      </c>
      <c r="H62" s="99">
        <f t="shared" si="24"/>
        <v>3946.5052208055558</v>
      </c>
      <c r="I62" s="99">
        <f t="shared" si="24"/>
        <v>4831.1302208055558</v>
      </c>
      <c r="J62" s="99">
        <f t="shared" si="24"/>
        <v>4831.1302208055558</v>
      </c>
      <c r="K62" s="99">
        <f t="shared" si="24"/>
        <v>4831.1302208055558</v>
      </c>
      <c r="L62" s="99">
        <f t="shared" si="24"/>
        <v>4831.1302208055558</v>
      </c>
      <c r="M62" s="99">
        <f t="shared" si="25"/>
        <v>4831.1302208055558</v>
      </c>
      <c r="N62" s="99">
        <f t="shared" si="25"/>
        <v>4831.1302208055558</v>
      </c>
      <c r="O62" s="99">
        <f t="shared" si="25"/>
        <v>4831.1302208055558</v>
      </c>
      <c r="P62" s="99">
        <f t="shared" si="25"/>
        <v>4831.1302208055558</v>
      </c>
      <c r="Q62" s="99">
        <f t="shared" si="25"/>
        <v>4831.1302208055558</v>
      </c>
      <c r="R62" s="99">
        <f t="shared" si="25"/>
        <v>4831.1302208055558</v>
      </c>
      <c r="S62" s="99">
        <f t="shared" si="25"/>
        <v>5065.2715220755563</v>
      </c>
      <c r="T62" s="99">
        <f t="shared" si="25"/>
        <v>5065.2715220755563</v>
      </c>
      <c r="U62" s="99">
        <f t="shared" si="25"/>
        <v>5065.2715220755563</v>
      </c>
      <c r="V62" s="99">
        <f t="shared" si="25"/>
        <v>5065.2715220755563</v>
      </c>
      <c r="W62" s="99">
        <f t="shared" si="26"/>
        <v>5065.2715220755563</v>
      </c>
      <c r="X62" s="99">
        <f t="shared" si="26"/>
        <v>5065.2715220755563</v>
      </c>
      <c r="Y62" s="99">
        <f t="shared" si="26"/>
        <v>5065.2715220755563</v>
      </c>
      <c r="Z62" s="99">
        <f t="shared" si="26"/>
        <v>5065.2715220755563</v>
      </c>
      <c r="AA62" s="99">
        <f t="shared" si="26"/>
        <v>5065.2715220755563</v>
      </c>
      <c r="AB62" s="99">
        <f t="shared" si="26"/>
        <v>5065.2715220755563</v>
      </c>
      <c r="AC62" s="99">
        <f t="shared" si="26"/>
        <v>5065.2715220755563</v>
      </c>
      <c r="AD62" s="99">
        <f t="shared" si="26"/>
        <v>5065.2715220755563</v>
      </c>
      <c r="AE62" s="99">
        <f t="shared" si="26"/>
        <v>5310.9321290086582</v>
      </c>
      <c r="AF62" s="99">
        <f t="shared" si="26"/>
        <v>5310.9321290086582</v>
      </c>
      <c r="AG62" s="99">
        <f t="shared" si="27"/>
        <v>5310.9321290086582</v>
      </c>
      <c r="AH62" s="99">
        <f t="shared" si="27"/>
        <v>5310.9321290086582</v>
      </c>
      <c r="AI62" s="99">
        <f t="shared" si="27"/>
        <v>5310.9321290086582</v>
      </c>
      <c r="AJ62" s="99">
        <f t="shared" si="27"/>
        <v>5310.9321290086582</v>
      </c>
      <c r="AK62" s="99">
        <f t="shared" si="27"/>
        <v>5310.9321290086582</v>
      </c>
      <c r="AL62" s="99">
        <f t="shared" si="27"/>
        <v>5310.9321290086582</v>
      </c>
      <c r="AM62" s="99">
        <f t="shared" si="27"/>
        <v>5310.9321290086582</v>
      </c>
      <c r="AN62" s="99">
        <f t="shared" si="27"/>
        <v>5310.9321290086582</v>
      </c>
      <c r="AO62" s="99">
        <f t="shared" si="27"/>
        <v>5310.9321290086582</v>
      </c>
      <c r="AP62" s="99">
        <f t="shared" si="27"/>
        <v>5310.9321290086582</v>
      </c>
      <c r="AQ62" s="99">
        <f t="shared" si="28"/>
        <v>5568.6823741060007</v>
      </c>
      <c r="AR62" s="99">
        <f t="shared" si="28"/>
        <v>5568.6823741060007</v>
      </c>
      <c r="AS62" s="99">
        <f t="shared" si="28"/>
        <v>5568.6823741060007</v>
      </c>
      <c r="AT62" s="99">
        <f t="shared" si="28"/>
        <v>5568.6823741060007</v>
      </c>
      <c r="AU62" s="99">
        <f t="shared" si="28"/>
        <v>5568.6823741060007</v>
      </c>
      <c r="AV62" s="99">
        <f t="shared" si="28"/>
        <v>5568.6823741060007</v>
      </c>
      <c r="AW62" s="99">
        <f t="shared" si="28"/>
        <v>5568.6823741060007</v>
      </c>
      <c r="AX62" s="99">
        <f t="shared" si="28"/>
        <v>5568.6823741060007</v>
      </c>
      <c r="AY62" s="99">
        <f t="shared" si="28"/>
        <v>5568.6823741060007</v>
      </c>
      <c r="AZ62" s="99">
        <f t="shared" si="28"/>
        <v>5568.6823741060007</v>
      </c>
      <c r="BA62" s="99">
        <f t="shared" si="29"/>
        <v>5568.6823741060007</v>
      </c>
      <c r="BB62" s="99">
        <f t="shared" si="29"/>
        <v>5568.6823741060007</v>
      </c>
      <c r="BC62" s="99">
        <f t="shared" si="29"/>
        <v>5839.120937510329</v>
      </c>
      <c r="BD62" s="99">
        <f t="shared" si="29"/>
        <v>5839.120937510329</v>
      </c>
      <c r="BE62" s="99">
        <f t="shared" si="29"/>
        <v>5839.120937510329</v>
      </c>
      <c r="BF62" s="99">
        <f t="shared" si="29"/>
        <v>5839.120937510329</v>
      </c>
      <c r="BG62" s="99">
        <f t="shared" si="29"/>
        <v>5839.120937510329</v>
      </c>
      <c r="BH62" s="99">
        <f t="shared" si="29"/>
        <v>5839.120937510329</v>
      </c>
      <c r="BI62" s="99">
        <f t="shared" si="29"/>
        <v>5839.120937510329</v>
      </c>
      <c r="BJ62" s="99">
        <f t="shared" si="29"/>
        <v>462.78485547907434</v>
      </c>
      <c r="BL62" s="247">
        <f t="shared" si="30"/>
        <v>3071.098595138888</v>
      </c>
      <c r="BM62" s="247">
        <f t="shared" si="30"/>
        <v>55319.687649666674</v>
      </c>
      <c r="BN62" s="247">
        <f t="shared" si="30"/>
        <v>60783.258264906675</v>
      </c>
      <c r="BO62" s="247">
        <f t="shared" si="30"/>
        <v>63731.185548103902</v>
      </c>
      <c r="BP62" s="247">
        <f t="shared" si="30"/>
        <v>66824.188489272012</v>
      </c>
      <c r="BQ62" s="247">
        <f t="shared" si="30"/>
        <v>41336.63141805138</v>
      </c>
      <c r="BR62" s="217">
        <f t="shared" si="31"/>
        <v>291066.04996513954</v>
      </c>
      <c r="BS62" s="276">
        <f t="shared" si="32"/>
        <v>2.9338088356210667E-2</v>
      </c>
    </row>
    <row r="63" spans="1:71">
      <c r="A63" s="30" t="s">
        <v>27</v>
      </c>
      <c r="B63" s="30"/>
      <c r="C63" s="99">
        <f t="shared" si="24"/>
        <v>0</v>
      </c>
      <c r="D63" s="99">
        <f t="shared" si="24"/>
        <v>0</v>
      </c>
      <c r="E63" s="99">
        <f t="shared" si="24"/>
        <v>0</v>
      </c>
      <c r="F63" s="99">
        <f t="shared" si="24"/>
        <v>771.04206018518516</v>
      </c>
      <c r="G63" s="99">
        <f t="shared" si="24"/>
        <v>771.04206018518516</v>
      </c>
      <c r="H63" s="99">
        <f t="shared" si="24"/>
        <v>771.04206018518516</v>
      </c>
      <c r="I63" s="99">
        <f t="shared" si="24"/>
        <v>771.04206018518516</v>
      </c>
      <c r="J63" s="99">
        <f t="shared" si="24"/>
        <v>771.04206018518516</v>
      </c>
      <c r="K63" s="99">
        <f t="shared" si="24"/>
        <v>771.04206018518516</v>
      </c>
      <c r="L63" s="99">
        <f t="shared" si="24"/>
        <v>771.04206018518516</v>
      </c>
      <c r="M63" s="99">
        <f t="shared" si="25"/>
        <v>771.04206018518516</v>
      </c>
      <c r="N63" s="99">
        <f t="shared" si="25"/>
        <v>771.04206018518516</v>
      </c>
      <c r="O63" s="99">
        <f t="shared" si="25"/>
        <v>771.04206018518516</v>
      </c>
      <c r="P63" s="99">
        <f t="shared" si="25"/>
        <v>771.04206018518516</v>
      </c>
      <c r="Q63" s="99">
        <f t="shared" si="25"/>
        <v>771.04206018518516</v>
      </c>
      <c r="R63" s="99">
        <f t="shared" si="25"/>
        <v>771.04206018518516</v>
      </c>
      <c r="S63" s="99">
        <f t="shared" si="25"/>
        <v>771.04206018518516</v>
      </c>
      <c r="T63" s="99">
        <f t="shared" si="25"/>
        <v>771.04206018518516</v>
      </c>
      <c r="U63" s="99">
        <f t="shared" si="25"/>
        <v>771.04206018518516</v>
      </c>
      <c r="V63" s="99">
        <f t="shared" si="25"/>
        <v>771.04206018518516</v>
      </c>
      <c r="W63" s="99">
        <f t="shared" si="26"/>
        <v>771.04206018518516</v>
      </c>
      <c r="X63" s="99">
        <f t="shared" si="26"/>
        <v>771.04206018518516</v>
      </c>
      <c r="Y63" s="99">
        <f t="shared" si="26"/>
        <v>771.04206018518516</v>
      </c>
      <c r="Z63" s="99">
        <f t="shared" si="26"/>
        <v>771.04206018518516</v>
      </c>
      <c r="AA63" s="99">
        <f t="shared" si="26"/>
        <v>771.04206018518516</v>
      </c>
      <c r="AB63" s="99">
        <f t="shared" si="26"/>
        <v>771.04206018518516</v>
      </c>
      <c r="AC63" s="99">
        <f t="shared" si="26"/>
        <v>771.04206018518516</v>
      </c>
      <c r="AD63" s="99">
        <f t="shared" si="26"/>
        <v>771.04206018518516</v>
      </c>
      <c r="AE63" s="99">
        <f t="shared" si="26"/>
        <v>771.04206018518516</v>
      </c>
      <c r="AF63" s="99">
        <f t="shared" si="26"/>
        <v>771.04206018518516</v>
      </c>
      <c r="AG63" s="99">
        <f t="shared" si="27"/>
        <v>771.04206018518516</v>
      </c>
      <c r="AH63" s="99">
        <f t="shared" si="27"/>
        <v>771.04206018518516</v>
      </c>
      <c r="AI63" s="99">
        <f t="shared" si="27"/>
        <v>771.04206018518516</v>
      </c>
      <c r="AJ63" s="99">
        <f t="shared" si="27"/>
        <v>771.04206018518516</v>
      </c>
      <c r="AK63" s="99">
        <f t="shared" si="27"/>
        <v>771.04206018518516</v>
      </c>
      <c r="AL63" s="99">
        <f t="shared" si="27"/>
        <v>771.04206018518516</v>
      </c>
      <c r="AM63" s="99">
        <f t="shared" si="27"/>
        <v>771.04206018518516</v>
      </c>
      <c r="AN63" s="99">
        <f t="shared" si="27"/>
        <v>771.04206018518516</v>
      </c>
      <c r="AO63" s="99">
        <f t="shared" si="27"/>
        <v>771.04206018518516</v>
      </c>
      <c r="AP63" s="99">
        <f t="shared" si="27"/>
        <v>771.04206018518516</v>
      </c>
      <c r="AQ63" s="99">
        <f t="shared" si="28"/>
        <v>771.04206018518516</v>
      </c>
      <c r="AR63" s="99">
        <f t="shared" si="28"/>
        <v>771.04206018518516</v>
      </c>
      <c r="AS63" s="99">
        <f t="shared" si="28"/>
        <v>771.04206018518516</v>
      </c>
      <c r="AT63" s="99">
        <f t="shared" si="28"/>
        <v>771.04206018518516</v>
      </c>
      <c r="AU63" s="99">
        <f t="shared" si="28"/>
        <v>771.04206018518516</v>
      </c>
      <c r="AV63" s="99">
        <f t="shared" si="28"/>
        <v>771.04206018518516</v>
      </c>
      <c r="AW63" s="99">
        <f t="shared" si="28"/>
        <v>771.04206018518516</v>
      </c>
      <c r="AX63" s="99">
        <f t="shared" si="28"/>
        <v>771.04206018518516</v>
      </c>
      <c r="AY63" s="99">
        <f t="shared" si="28"/>
        <v>771.04206018518516</v>
      </c>
      <c r="AZ63" s="99">
        <f t="shared" si="28"/>
        <v>771.04206018518516</v>
      </c>
      <c r="BA63" s="99">
        <f t="shared" si="29"/>
        <v>771.04206018518516</v>
      </c>
      <c r="BB63" s="99">
        <f t="shared" si="29"/>
        <v>771.04206018518516</v>
      </c>
      <c r="BC63" s="99">
        <f t="shared" si="29"/>
        <v>771.04206018518516</v>
      </c>
      <c r="BD63" s="99">
        <f t="shared" si="29"/>
        <v>771.04206018518516</v>
      </c>
      <c r="BE63" s="99">
        <f t="shared" si="29"/>
        <v>771.04206018518516</v>
      </c>
      <c r="BF63" s="99">
        <f t="shared" si="29"/>
        <v>771.04206018518516</v>
      </c>
      <c r="BG63" s="99">
        <f t="shared" si="29"/>
        <v>771.04206018518516</v>
      </c>
      <c r="BH63" s="99">
        <f t="shared" si="29"/>
        <v>771.04206018518516</v>
      </c>
      <c r="BI63" s="99">
        <f t="shared" si="29"/>
        <v>771.04206018518516</v>
      </c>
      <c r="BJ63" s="99">
        <f t="shared" si="29"/>
        <v>771.04206018518516</v>
      </c>
      <c r="BL63" s="247">
        <f t="shared" si="30"/>
        <v>771.04206018518516</v>
      </c>
      <c r="BM63" s="247">
        <f t="shared" si="30"/>
        <v>9252.5047222222238</v>
      </c>
      <c r="BN63" s="247">
        <f t="shared" si="30"/>
        <v>9252.5047222222238</v>
      </c>
      <c r="BO63" s="247">
        <f t="shared" si="30"/>
        <v>9252.5047222222238</v>
      </c>
      <c r="BP63" s="247">
        <f t="shared" si="30"/>
        <v>9252.5047222222238</v>
      </c>
      <c r="BQ63" s="247">
        <f t="shared" si="30"/>
        <v>6168.3364814814813</v>
      </c>
      <c r="BR63" s="217">
        <f t="shared" si="31"/>
        <v>43949.39743055556</v>
      </c>
      <c r="BS63" s="276">
        <f t="shared" si="32"/>
        <v>4.4298924768941105E-3</v>
      </c>
    </row>
    <row r="64" spans="1:71">
      <c r="A64" s="58" t="s">
        <v>168</v>
      </c>
      <c r="B64" s="58"/>
      <c r="C64" s="98">
        <f t="shared" ref="C64:AH64" si="33">SUM(C56:C63)</f>
        <v>1695.3078999999998</v>
      </c>
      <c r="D64" s="98">
        <f t="shared" si="33"/>
        <v>1695.3078999999998</v>
      </c>
      <c r="E64" s="98">
        <f t="shared" si="33"/>
        <v>30621.141233333332</v>
      </c>
      <c r="F64" s="98">
        <f t="shared" si="33"/>
        <v>70327.766955324085</v>
      </c>
      <c r="G64" s="98">
        <f t="shared" si="33"/>
        <v>103967.95008099075</v>
      </c>
      <c r="H64" s="98">
        <f t="shared" si="33"/>
        <v>134340.07508099076</v>
      </c>
      <c r="I64" s="98">
        <f t="shared" si="33"/>
        <v>164712.20008099079</v>
      </c>
      <c r="J64" s="98">
        <f t="shared" si="33"/>
        <v>164712.20008099079</v>
      </c>
      <c r="K64" s="98">
        <f t="shared" si="33"/>
        <v>164712.20008099079</v>
      </c>
      <c r="L64" s="98">
        <f t="shared" si="33"/>
        <v>164712.20008099079</v>
      </c>
      <c r="M64" s="98">
        <f t="shared" si="33"/>
        <v>164712.20008099079</v>
      </c>
      <c r="N64" s="98">
        <f t="shared" si="33"/>
        <v>164712.20008099079</v>
      </c>
      <c r="O64" s="98">
        <f t="shared" si="33"/>
        <v>164712.20008099079</v>
      </c>
      <c r="P64" s="98">
        <f t="shared" si="33"/>
        <v>164712.20008099079</v>
      </c>
      <c r="Q64" s="98">
        <f t="shared" si="33"/>
        <v>164712.20008099079</v>
      </c>
      <c r="R64" s="98">
        <f t="shared" si="33"/>
        <v>164712.20008099079</v>
      </c>
      <c r="S64" s="98">
        <f t="shared" si="33"/>
        <v>172693.22121626078</v>
      </c>
      <c r="T64" s="98">
        <f t="shared" si="33"/>
        <v>172693.22121626078</v>
      </c>
      <c r="U64" s="98">
        <f t="shared" si="33"/>
        <v>172693.22121626078</v>
      </c>
      <c r="V64" s="98">
        <f t="shared" si="33"/>
        <v>172693.22121626078</v>
      </c>
      <c r="W64" s="98">
        <f t="shared" si="33"/>
        <v>172693.22121626078</v>
      </c>
      <c r="X64" s="98">
        <f t="shared" si="33"/>
        <v>172693.22121626078</v>
      </c>
      <c r="Y64" s="98">
        <f t="shared" si="33"/>
        <v>172693.22121626078</v>
      </c>
      <c r="Z64" s="98">
        <f t="shared" si="33"/>
        <v>172693.22121626078</v>
      </c>
      <c r="AA64" s="98">
        <f t="shared" si="33"/>
        <v>172693.22121626078</v>
      </c>
      <c r="AB64" s="98">
        <f t="shared" si="33"/>
        <v>172693.22121626078</v>
      </c>
      <c r="AC64" s="98">
        <f t="shared" si="33"/>
        <v>172693.22121626078</v>
      </c>
      <c r="AD64" s="98">
        <f t="shared" si="33"/>
        <v>172693.22121626078</v>
      </c>
      <c r="AE64" s="98">
        <f t="shared" si="33"/>
        <v>181066.84700221388</v>
      </c>
      <c r="AF64" s="98">
        <f t="shared" si="33"/>
        <v>181066.84700221388</v>
      </c>
      <c r="AG64" s="98">
        <f t="shared" si="33"/>
        <v>181066.84700221388</v>
      </c>
      <c r="AH64" s="98">
        <f t="shared" si="33"/>
        <v>181066.84700221388</v>
      </c>
      <c r="AI64" s="98">
        <f t="shared" ref="AI64:BI64" si="34">SUM(AI56:AI63)</f>
        <v>181066.84700221388</v>
      </c>
      <c r="AJ64" s="98">
        <f t="shared" si="34"/>
        <v>181066.84700221388</v>
      </c>
      <c r="AK64" s="98">
        <f t="shared" si="34"/>
        <v>181066.84700221388</v>
      </c>
      <c r="AL64" s="98">
        <f t="shared" si="34"/>
        <v>181066.84700221388</v>
      </c>
      <c r="AM64" s="98">
        <f t="shared" si="34"/>
        <v>181066.84700221388</v>
      </c>
      <c r="AN64" s="98">
        <f t="shared" si="34"/>
        <v>181066.84700221388</v>
      </c>
      <c r="AO64" s="98">
        <f t="shared" si="34"/>
        <v>181066.84700221388</v>
      </c>
      <c r="AP64" s="98">
        <f t="shared" si="34"/>
        <v>181066.84700221388</v>
      </c>
      <c r="AQ64" s="98">
        <f t="shared" si="34"/>
        <v>189852.51427920183</v>
      </c>
      <c r="AR64" s="98">
        <f t="shared" si="34"/>
        <v>189852.51427920183</v>
      </c>
      <c r="AS64" s="98">
        <f t="shared" si="34"/>
        <v>189852.51427920183</v>
      </c>
      <c r="AT64" s="98">
        <f t="shared" si="34"/>
        <v>189852.51427920183</v>
      </c>
      <c r="AU64" s="98">
        <f t="shared" si="34"/>
        <v>189852.51427920183</v>
      </c>
      <c r="AV64" s="98">
        <f t="shared" si="34"/>
        <v>189852.51427920183</v>
      </c>
      <c r="AW64" s="98">
        <f t="shared" si="34"/>
        <v>189852.51427920183</v>
      </c>
      <c r="AX64" s="98">
        <f t="shared" si="34"/>
        <v>189852.51427920183</v>
      </c>
      <c r="AY64" s="98">
        <f t="shared" si="34"/>
        <v>189852.51427920183</v>
      </c>
      <c r="AZ64" s="98">
        <f t="shared" si="34"/>
        <v>189852.51427920183</v>
      </c>
      <c r="BA64" s="98">
        <f t="shared" si="34"/>
        <v>189852.51427920183</v>
      </c>
      <c r="BB64" s="98">
        <f t="shared" si="34"/>
        <v>189852.51427920183</v>
      </c>
      <c r="BC64" s="98">
        <f t="shared" si="34"/>
        <v>199070.62592782857</v>
      </c>
      <c r="BD64" s="98">
        <f t="shared" si="34"/>
        <v>199070.62592782857</v>
      </c>
      <c r="BE64" s="98">
        <f t="shared" si="34"/>
        <v>199070.62592782857</v>
      </c>
      <c r="BF64" s="98">
        <f t="shared" si="34"/>
        <v>199070.62592782857</v>
      </c>
      <c r="BG64" s="98">
        <f t="shared" si="34"/>
        <v>199070.62592782857</v>
      </c>
      <c r="BH64" s="98">
        <f t="shared" si="34"/>
        <v>199070.62592782857</v>
      </c>
      <c r="BI64" s="98">
        <f t="shared" si="34"/>
        <v>199070.62592782857</v>
      </c>
      <c r="BJ64" s="98">
        <f t="shared" ref="BJ64" si="35">SUM(BJ56:BJ63)</f>
        <v>14483.087111422177</v>
      </c>
      <c r="BL64" s="24">
        <f t="shared" si="30"/>
        <v>104339.52398865741</v>
      </c>
      <c r="BM64" s="24">
        <f t="shared" si="30"/>
        <v>1885430.0259718895</v>
      </c>
      <c r="BN64" s="24">
        <f t="shared" si="30"/>
        <v>2072318.654595129</v>
      </c>
      <c r="BO64" s="24">
        <f t="shared" si="30"/>
        <v>2172802.1640265663</v>
      </c>
      <c r="BP64" s="24">
        <f t="shared" si="30"/>
        <v>2278230.1713504218</v>
      </c>
      <c r="BQ64" s="24">
        <f t="shared" si="30"/>
        <v>1407977.468606222</v>
      </c>
      <c r="BR64" s="217">
        <f t="shared" si="31"/>
        <v>9921098.0085388869</v>
      </c>
      <c r="BS64" s="216"/>
    </row>
    <row r="66" spans="3:3">
      <c r="C66" s="1" t="s">
        <v>227</v>
      </c>
    </row>
  </sheetData>
  <pageMargins left="0.7" right="0.7" top="0.75" bottom="0.75" header="0.3" footer="0.3"/>
  <pageSetup paperSize="9" orientation="portrait" verticalDpi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R36"/>
  <sheetViews>
    <sheetView workbookViewId="0">
      <pane xSplit="3" ySplit="5" topLeftCell="D15" activePane="bottomRight" state="frozen"/>
      <selection pane="topRight" activeCell="D1" sqref="D1"/>
      <selection pane="bottomLeft" activeCell="A6" sqref="A6"/>
      <selection pane="bottomRight" activeCell="C34" sqref="C34:C36"/>
    </sheetView>
  </sheetViews>
  <sheetFormatPr defaultColWidth="8.5703125" defaultRowHeight="13.9"/>
  <cols>
    <col min="1" max="1" width="34.5703125" style="1" customWidth="1"/>
    <col min="2" max="2" width="10.140625" style="1" customWidth="1"/>
    <col min="3" max="3" width="9.140625" style="1" customWidth="1"/>
    <col min="4" max="4" width="12.35546875" style="1" bestFit="1" customWidth="1"/>
    <col min="5" max="5" width="10.42578125" style="1" customWidth="1"/>
    <col min="6" max="62" width="8.5703125" style="1"/>
    <col min="63" max="63" width="9.85546875" style="1" bestFit="1" customWidth="1"/>
    <col min="64" max="64" width="8.5703125" style="1"/>
    <col min="65" max="65" width="8.85546875" style="1" bestFit="1" customWidth="1"/>
    <col min="66" max="66" width="11.140625" style="1" customWidth="1"/>
    <col min="67" max="69" width="9.85546875" style="1" bestFit="1" customWidth="1"/>
    <col min="70" max="70" width="10.5703125" style="1" customWidth="1"/>
    <col min="71" max="16384" width="8.5703125" style="1"/>
  </cols>
  <sheetData>
    <row r="1" spans="1:122">
      <c r="A1" s="18" t="s">
        <v>6</v>
      </c>
      <c r="B1" s="18"/>
      <c r="C1" s="18"/>
      <c r="D1" s="19">
        <f>IF(OR(MONTH(D3)=1,MONTH(D3)=2,MONTH(D3)=3),1,IF(OR(MONTH(D3)=4,MONTH(D3)=5,MONTH(D3)=6),2,IF(OR(MONTH(D3)=7,MONTH(D3)=8,MONTH(D3)=9),3,4)))</f>
        <v>3</v>
      </c>
      <c r="E1" s="19">
        <f>IF(OR(MONTH(E3)=1,MONTH(E3)=2,MONTH(E3)=3),1,IF(OR(MONTH(E3)=4,MONTH(E3)=5,MONTH(E3)=6),2,IF(OR(MONTH(E3)=7,MONTH(E3)=8,MONTH(E3)=9),3,4)))</f>
        <v>4</v>
      </c>
      <c r="F1" s="19">
        <f>IF(OR(MONTH(F3)=1,MONTH(F3)=2,MONTH(F3)=3),1,IF(OR(MONTH(F3)=4,MONTH(F3)=5,MONTH(F3)=6),2,IF(OR(MONTH(F3)=7,MONTH(F3)=8,MONTH(F3)=9),3,4)))</f>
        <v>4</v>
      </c>
      <c r="G1" s="19">
        <f t="shared" ref="G1:AM1" si="0">IF(OR(MONTH(G3)=1,MONTH(G3)=2,MONTH(G3)=3),1,IF(OR(MONTH(G3)=4,MONTH(G3)=5,MONTH(G3)=6),2,IF(OR(MONTH(G3)=7,MONTH(G3)=8,MONTH(G3)=9),3,4)))</f>
        <v>4</v>
      </c>
      <c r="H1" s="19">
        <f t="shared" si="0"/>
        <v>1</v>
      </c>
      <c r="I1" s="19">
        <f t="shared" si="0"/>
        <v>1</v>
      </c>
      <c r="J1" s="19">
        <f t="shared" si="0"/>
        <v>1</v>
      </c>
      <c r="K1" s="19">
        <f t="shared" si="0"/>
        <v>2</v>
      </c>
      <c r="L1" s="19">
        <f t="shared" si="0"/>
        <v>2</v>
      </c>
      <c r="M1" s="19">
        <f t="shared" si="0"/>
        <v>2</v>
      </c>
      <c r="N1" s="19">
        <f t="shared" si="0"/>
        <v>3</v>
      </c>
      <c r="O1" s="19">
        <f t="shared" si="0"/>
        <v>3</v>
      </c>
      <c r="P1" s="19">
        <f t="shared" si="0"/>
        <v>3</v>
      </c>
      <c r="Q1" s="19">
        <f t="shared" si="0"/>
        <v>4</v>
      </c>
      <c r="R1" s="19">
        <f t="shared" si="0"/>
        <v>4</v>
      </c>
      <c r="S1" s="19">
        <f t="shared" si="0"/>
        <v>4</v>
      </c>
      <c r="T1" s="19">
        <f t="shared" si="0"/>
        <v>1</v>
      </c>
      <c r="U1" s="19">
        <f t="shared" si="0"/>
        <v>1</v>
      </c>
      <c r="V1" s="19">
        <f t="shared" si="0"/>
        <v>1</v>
      </c>
      <c r="W1" s="19">
        <f t="shared" si="0"/>
        <v>2</v>
      </c>
      <c r="X1" s="19">
        <f t="shared" si="0"/>
        <v>2</v>
      </c>
      <c r="Y1" s="19">
        <f t="shared" si="0"/>
        <v>2</v>
      </c>
      <c r="Z1" s="19">
        <f t="shared" si="0"/>
        <v>3</v>
      </c>
      <c r="AA1" s="19">
        <f t="shared" si="0"/>
        <v>3</v>
      </c>
      <c r="AB1" s="19">
        <f t="shared" si="0"/>
        <v>3</v>
      </c>
      <c r="AC1" s="19">
        <f t="shared" si="0"/>
        <v>4</v>
      </c>
      <c r="AD1" s="19">
        <f t="shared" si="0"/>
        <v>4</v>
      </c>
      <c r="AE1" s="19">
        <f t="shared" si="0"/>
        <v>4</v>
      </c>
      <c r="AF1" s="19">
        <f t="shared" si="0"/>
        <v>1</v>
      </c>
      <c r="AG1" s="19">
        <f t="shared" si="0"/>
        <v>1</v>
      </c>
      <c r="AH1" s="19">
        <f t="shared" si="0"/>
        <v>1</v>
      </c>
      <c r="AI1" s="19">
        <f t="shared" si="0"/>
        <v>2</v>
      </c>
      <c r="AJ1" s="19">
        <f t="shared" si="0"/>
        <v>2</v>
      </c>
      <c r="AK1" s="19">
        <f t="shared" si="0"/>
        <v>2</v>
      </c>
      <c r="AL1" s="19">
        <f t="shared" si="0"/>
        <v>3</v>
      </c>
      <c r="AM1" s="19">
        <f t="shared" si="0"/>
        <v>3</v>
      </c>
      <c r="AN1" s="19">
        <f t="shared" ref="AN1:BJ1" si="1">IF(OR(MONTH(AN3)=1,MONTH(AN3)=2,MONTH(AN3)=3),1,IF(OR(MONTH(AN3)=4,MONTH(AN3)=5,MONTH(AN3)=6),2,IF(OR(MONTH(AN3)=7,MONTH(AN3)=8,MONTH(AN3)=9),3,4)))</f>
        <v>3</v>
      </c>
      <c r="AO1" s="19">
        <f t="shared" si="1"/>
        <v>4</v>
      </c>
      <c r="AP1" s="19">
        <f t="shared" si="1"/>
        <v>4</v>
      </c>
      <c r="AQ1" s="19">
        <f t="shared" si="1"/>
        <v>4</v>
      </c>
      <c r="AR1" s="19">
        <f t="shared" si="1"/>
        <v>1</v>
      </c>
      <c r="AS1" s="19">
        <f t="shared" si="1"/>
        <v>1</v>
      </c>
      <c r="AT1" s="19">
        <f t="shared" si="1"/>
        <v>1</v>
      </c>
      <c r="AU1" s="19">
        <f t="shared" si="1"/>
        <v>2</v>
      </c>
      <c r="AV1" s="19">
        <f t="shared" si="1"/>
        <v>2</v>
      </c>
      <c r="AW1" s="19">
        <f t="shared" si="1"/>
        <v>2</v>
      </c>
      <c r="AX1" s="19">
        <f t="shared" si="1"/>
        <v>3</v>
      </c>
      <c r="AY1" s="19">
        <f t="shared" si="1"/>
        <v>3</v>
      </c>
      <c r="AZ1" s="19">
        <f t="shared" si="1"/>
        <v>3</v>
      </c>
      <c r="BA1" s="19">
        <f t="shared" si="1"/>
        <v>4</v>
      </c>
      <c r="BB1" s="19">
        <f t="shared" si="1"/>
        <v>4</v>
      </c>
      <c r="BC1" s="19">
        <f t="shared" si="1"/>
        <v>4</v>
      </c>
      <c r="BD1" s="19">
        <f t="shared" si="1"/>
        <v>1</v>
      </c>
      <c r="BE1" s="19">
        <f t="shared" si="1"/>
        <v>1</v>
      </c>
      <c r="BF1" s="19">
        <f t="shared" si="1"/>
        <v>1</v>
      </c>
      <c r="BG1" s="19">
        <f t="shared" si="1"/>
        <v>2</v>
      </c>
      <c r="BH1" s="19">
        <f t="shared" si="1"/>
        <v>2</v>
      </c>
      <c r="BI1" s="19">
        <f t="shared" si="1"/>
        <v>2</v>
      </c>
      <c r="BJ1" s="19">
        <f t="shared" si="1"/>
        <v>3</v>
      </c>
      <c r="BK1" s="19">
        <f t="shared" ref="BK1" si="2">IF(OR(MONTH(BK3)=1,MONTH(BK3)=2,MONTH(BK3)=3),1,IF(OR(MONTH(BK3)=4,MONTH(BK3)=5,MONTH(BK3)=6),2,IF(OR(MONTH(BK3)=7,MONTH(BK3)=8,MONTH(BK3)=9),3,4)))</f>
        <v>3</v>
      </c>
    </row>
    <row r="2" spans="1:122">
      <c r="A2" s="18" t="s">
        <v>7</v>
      </c>
      <c r="B2" s="18"/>
      <c r="C2" s="18"/>
      <c r="D2" s="19">
        <f>YEAR(D3)</f>
        <v>2025</v>
      </c>
      <c r="E2" s="19">
        <f>YEAR(E3)</f>
        <v>2025</v>
      </c>
      <c r="F2" s="19">
        <f t="shared" ref="F2:BK2" si="3">YEAR(F3)</f>
        <v>2025</v>
      </c>
      <c r="G2" s="19">
        <f t="shared" si="3"/>
        <v>2025</v>
      </c>
      <c r="H2" s="19">
        <f t="shared" si="3"/>
        <v>2026</v>
      </c>
      <c r="I2" s="19">
        <f t="shared" si="3"/>
        <v>2026</v>
      </c>
      <c r="J2" s="19">
        <f t="shared" si="3"/>
        <v>2026</v>
      </c>
      <c r="K2" s="19">
        <f t="shared" si="3"/>
        <v>2026</v>
      </c>
      <c r="L2" s="19">
        <f t="shared" si="3"/>
        <v>2026</v>
      </c>
      <c r="M2" s="19">
        <f t="shared" si="3"/>
        <v>2026</v>
      </c>
      <c r="N2" s="19">
        <f t="shared" si="3"/>
        <v>2026</v>
      </c>
      <c r="O2" s="19">
        <f t="shared" si="3"/>
        <v>2026</v>
      </c>
      <c r="P2" s="19">
        <f t="shared" si="3"/>
        <v>2026</v>
      </c>
      <c r="Q2" s="19">
        <f t="shared" si="3"/>
        <v>2026</v>
      </c>
      <c r="R2" s="19">
        <f t="shared" si="3"/>
        <v>2026</v>
      </c>
      <c r="S2" s="19">
        <f t="shared" si="3"/>
        <v>2026</v>
      </c>
      <c r="T2" s="19">
        <f t="shared" si="3"/>
        <v>2027</v>
      </c>
      <c r="U2" s="19">
        <f t="shared" si="3"/>
        <v>2027</v>
      </c>
      <c r="V2" s="19">
        <f t="shared" si="3"/>
        <v>2027</v>
      </c>
      <c r="W2" s="19">
        <f t="shared" si="3"/>
        <v>2027</v>
      </c>
      <c r="X2" s="19">
        <f t="shared" si="3"/>
        <v>2027</v>
      </c>
      <c r="Y2" s="19">
        <f t="shared" si="3"/>
        <v>2027</v>
      </c>
      <c r="Z2" s="19">
        <f t="shared" si="3"/>
        <v>2027</v>
      </c>
      <c r="AA2" s="19">
        <f t="shared" si="3"/>
        <v>2027</v>
      </c>
      <c r="AB2" s="19">
        <f t="shared" si="3"/>
        <v>2027</v>
      </c>
      <c r="AC2" s="19">
        <f t="shared" si="3"/>
        <v>2027</v>
      </c>
      <c r="AD2" s="19">
        <f t="shared" si="3"/>
        <v>2027</v>
      </c>
      <c r="AE2" s="19">
        <f t="shared" si="3"/>
        <v>2027</v>
      </c>
      <c r="AF2" s="19">
        <f t="shared" si="3"/>
        <v>2028</v>
      </c>
      <c r="AG2" s="19">
        <f t="shared" si="3"/>
        <v>2028</v>
      </c>
      <c r="AH2" s="19">
        <f t="shared" si="3"/>
        <v>2028</v>
      </c>
      <c r="AI2" s="19">
        <f t="shared" si="3"/>
        <v>2028</v>
      </c>
      <c r="AJ2" s="19">
        <f t="shared" si="3"/>
        <v>2028</v>
      </c>
      <c r="AK2" s="19">
        <f t="shared" si="3"/>
        <v>2028</v>
      </c>
      <c r="AL2" s="19">
        <f t="shared" si="3"/>
        <v>2028</v>
      </c>
      <c r="AM2" s="19">
        <f t="shared" si="3"/>
        <v>2028</v>
      </c>
      <c r="AN2" s="19">
        <f t="shared" si="3"/>
        <v>2028</v>
      </c>
      <c r="AO2" s="19">
        <f t="shared" si="3"/>
        <v>2028</v>
      </c>
      <c r="AP2" s="19">
        <f t="shared" si="3"/>
        <v>2028</v>
      </c>
      <c r="AQ2" s="19">
        <f t="shared" si="3"/>
        <v>2028</v>
      </c>
      <c r="AR2" s="19">
        <f t="shared" si="3"/>
        <v>2029</v>
      </c>
      <c r="AS2" s="19">
        <f t="shared" si="3"/>
        <v>2029</v>
      </c>
      <c r="AT2" s="19">
        <f t="shared" si="3"/>
        <v>2029</v>
      </c>
      <c r="AU2" s="19">
        <f t="shared" si="3"/>
        <v>2029</v>
      </c>
      <c r="AV2" s="19">
        <f t="shared" si="3"/>
        <v>2029</v>
      </c>
      <c r="AW2" s="19">
        <f t="shared" si="3"/>
        <v>2029</v>
      </c>
      <c r="AX2" s="19">
        <f t="shared" si="3"/>
        <v>2029</v>
      </c>
      <c r="AY2" s="19">
        <f t="shared" si="3"/>
        <v>2029</v>
      </c>
      <c r="AZ2" s="19">
        <f t="shared" si="3"/>
        <v>2029</v>
      </c>
      <c r="BA2" s="19">
        <f t="shared" si="3"/>
        <v>2029</v>
      </c>
      <c r="BB2" s="19">
        <f t="shared" si="3"/>
        <v>2029</v>
      </c>
      <c r="BC2" s="19">
        <f t="shared" si="3"/>
        <v>2029</v>
      </c>
      <c r="BD2" s="19">
        <f t="shared" si="3"/>
        <v>2030</v>
      </c>
      <c r="BE2" s="19">
        <f t="shared" si="3"/>
        <v>2030</v>
      </c>
      <c r="BF2" s="19">
        <f t="shared" si="3"/>
        <v>2030</v>
      </c>
      <c r="BG2" s="19">
        <f t="shared" si="3"/>
        <v>2030</v>
      </c>
      <c r="BH2" s="19">
        <f t="shared" si="3"/>
        <v>2030</v>
      </c>
      <c r="BI2" s="19">
        <f t="shared" si="3"/>
        <v>2030</v>
      </c>
      <c r="BJ2" s="19">
        <f t="shared" si="3"/>
        <v>2030</v>
      </c>
      <c r="BK2" s="19">
        <f t="shared" si="3"/>
        <v>2030</v>
      </c>
      <c r="BM2" s="19">
        <f>YEAR(Допущения!C4)</f>
        <v>2025</v>
      </c>
      <c r="BN2" s="19">
        <f t="shared" ref="BN2:BP2" si="4">BM2+1</f>
        <v>2026</v>
      </c>
      <c r="BO2" s="19">
        <f t="shared" si="4"/>
        <v>2027</v>
      </c>
      <c r="BP2" s="19">
        <f t="shared" si="4"/>
        <v>2028</v>
      </c>
      <c r="BQ2" s="19">
        <f t="shared" ref="BQ2" si="5">BP2+1</f>
        <v>2029</v>
      </c>
      <c r="BR2" s="19">
        <f t="shared" ref="BR2" si="6">BQ2+1</f>
        <v>2030</v>
      </c>
    </row>
    <row r="3" spans="1:122">
      <c r="A3" s="18" t="s">
        <v>8</v>
      </c>
      <c r="B3" s="18"/>
      <c r="C3" s="18"/>
      <c r="D3" s="20">
        <f>Допущения!C4</f>
        <v>45901</v>
      </c>
      <c r="E3" s="20">
        <f t="shared" ref="E3:AM3" si="7">DATE(YEAR(D3),MONTH(D3)+1,1)</f>
        <v>45931</v>
      </c>
      <c r="F3" s="20">
        <f t="shared" si="7"/>
        <v>45962</v>
      </c>
      <c r="G3" s="20">
        <f t="shared" si="7"/>
        <v>45992</v>
      </c>
      <c r="H3" s="20">
        <f t="shared" si="7"/>
        <v>46023</v>
      </c>
      <c r="I3" s="20">
        <f t="shared" si="7"/>
        <v>46054</v>
      </c>
      <c r="J3" s="20">
        <f t="shared" si="7"/>
        <v>46082</v>
      </c>
      <c r="K3" s="20">
        <f t="shared" si="7"/>
        <v>46113</v>
      </c>
      <c r="L3" s="20">
        <f t="shared" si="7"/>
        <v>46143</v>
      </c>
      <c r="M3" s="20">
        <f t="shared" si="7"/>
        <v>46174</v>
      </c>
      <c r="N3" s="20">
        <f t="shared" si="7"/>
        <v>46204</v>
      </c>
      <c r="O3" s="20">
        <f t="shared" si="7"/>
        <v>46235</v>
      </c>
      <c r="P3" s="20">
        <f t="shared" si="7"/>
        <v>46266</v>
      </c>
      <c r="Q3" s="20">
        <f t="shared" si="7"/>
        <v>46296</v>
      </c>
      <c r="R3" s="20">
        <f t="shared" si="7"/>
        <v>46327</v>
      </c>
      <c r="S3" s="20">
        <f t="shared" si="7"/>
        <v>46357</v>
      </c>
      <c r="T3" s="20">
        <f t="shared" si="7"/>
        <v>46388</v>
      </c>
      <c r="U3" s="20">
        <f t="shared" si="7"/>
        <v>46419</v>
      </c>
      <c r="V3" s="20">
        <f t="shared" si="7"/>
        <v>46447</v>
      </c>
      <c r="W3" s="20">
        <f t="shared" si="7"/>
        <v>46478</v>
      </c>
      <c r="X3" s="20">
        <f t="shared" si="7"/>
        <v>46508</v>
      </c>
      <c r="Y3" s="20">
        <f t="shared" si="7"/>
        <v>46539</v>
      </c>
      <c r="Z3" s="20">
        <f t="shared" si="7"/>
        <v>46569</v>
      </c>
      <c r="AA3" s="20">
        <f t="shared" si="7"/>
        <v>46600</v>
      </c>
      <c r="AB3" s="20">
        <f t="shared" si="7"/>
        <v>46631</v>
      </c>
      <c r="AC3" s="20">
        <f t="shared" si="7"/>
        <v>46661</v>
      </c>
      <c r="AD3" s="20">
        <f t="shared" si="7"/>
        <v>46692</v>
      </c>
      <c r="AE3" s="20">
        <f t="shared" si="7"/>
        <v>46722</v>
      </c>
      <c r="AF3" s="20">
        <f t="shared" si="7"/>
        <v>46753</v>
      </c>
      <c r="AG3" s="20">
        <f t="shared" si="7"/>
        <v>46784</v>
      </c>
      <c r="AH3" s="20">
        <f t="shared" si="7"/>
        <v>46813</v>
      </c>
      <c r="AI3" s="20">
        <f t="shared" si="7"/>
        <v>46844</v>
      </c>
      <c r="AJ3" s="20">
        <f t="shared" si="7"/>
        <v>46874</v>
      </c>
      <c r="AK3" s="20">
        <f t="shared" si="7"/>
        <v>46905</v>
      </c>
      <c r="AL3" s="20">
        <f t="shared" si="7"/>
        <v>46935</v>
      </c>
      <c r="AM3" s="20">
        <f t="shared" si="7"/>
        <v>46966</v>
      </c>
      <c r="AN3" s="20">
        <f t="shared" ref="AN3:BJ3" si="8">DATE(YEAR(AM3),MONTH(AM3)+1,1)</f>
        <v>46997</v>
      </c>
      <c r="AO3" s="20">
        <f t="shared" si="8"/>
        <v>47027</v>
      </c>
      <c r="AP3" s="20">
        <f t="shared" si="8"/>
        <v>47058</v>
      </c>
      <c r="AQ3" s="20">
        <f t="shared" si="8"/>
        <v>47088</v>
      </c>
      <c r="AR3" s="20">
        <f t="shared" si="8"/>
        <v>47119</v>
      </c>
      <c r="AS3" s="20">
        <f t="shared" si="8"/>
        <v>47150</v>
      </c>
      <c r="AT3" s="20">
        <f t="shared" si="8"/>
        <v>47178</v>
      </c>
      <c r="AU3" s="20">
        <f t="shared" si="8"/>
        <v>47209</v>
      </c>
      <c r="AV3" s="20">
        <f t="shared" si="8"/>
        <v>47239</v>
      </c>
      <c r="AW3" s="20">
        <f t="shared" si="8"/>
        <v>47270</v>
      </c>
      <c r="AX3" s="20">
        <f t="shared" si="8"/>
        <v>47300</v>
      </c>
      <c r="AY3" s="20">
        <f t="shared" si="8"/>
        <v>47331</v>
      </c>
      <c r="AZ3" s="20">
        <f t="shared" si="8"/>
        <v>47362</v>
      </c>
      <c r="BA3" s="20">
        <f t="shared" si="8"/>
        <v>47392</v>
      </c>
      <c r="BB3" s="20">
        <f t="shared" si="8"/>
        <v>47423</v>
      </c>
      <c r="BC3" s="20">
        <f t="shared" si="8"/>
        <v>47453</v>
      </c>
      <c r="BD3" s="20">
        <f t="shared" si="8"/>
        <v>47484</v>
      </c>
      <c r="BE3" s="20">
        <f t="shared" si="8"/>
        <v>47515</v>
      </c>
      <c r="BF3" s="20">
        <f t="shared" si="8"/>
        <v>47543</v>
      </c>
      <c r="BG3" s="20">
        <f t="shared" si="8"/>
        <v>47574</v>
      </c>
      <c r="BH3" s="20">
        <f t="shared" si="8"/>
        <v>47604</v>
      </c>
      <c r="BI3" s="20">
        <f t="shared" si="8"/>
        <v>47635</v>
      </c>
      <c r="BJ3" s="20">
        <f t="shared" si="8"/>
        <v>47665</v>
      </c>
      <c r="BK3" s="20">
        <f t="shared" ref="BK3:BL3" si="9">DATE(YEAR(BJ3),MONTH(BJ3)+1,1)</f>
        <v>47696</v>
      </c>
      <c r="BL3" s="9">
        <f t="shared" si="9"/>
        <v>47727</v>
      </c>
    </row>
    <row r="4" spans="1:122">
      <c r="A4" s="18" t="s">
        <v>10</v>
      </c>
      <c r="B4" s="18"/>
      <c r="C4" s="18"/>
      <c r="D4" s="19">
        <f>E3-D3</f>
        <v>30</v>
      </c>
      <c r="E4" s="19">
        <f>F3-E3</f>
        <v>31</v>
      </c>
      <c r="F4" s="19">
        <f t="shared" ref="F4:AM4" si="10">G3-F3</f>
        <v>30</v>
      </c>
      <c r="G4" s="19">
        <f t="shared" si="10"/>
        <v>31</v>
      </c>
      <c r="H4" s="19">
        <f t="shared" si="10"/>
        <v>31</v>
      </c>
      <c r="I4" s="19">
        <f t="shared" si="10"/>
        <v>28</v>
      </c>
      <c r="J4" s="19">
        <f t="shared" si="10"/>
        <v>31</v>
      </c>
      <c r="K4" s="19">
        <f t="shared" si="10"/>
        <v>30</v>
      </c>
      <c r="L4" s="19">
        <f t="shared" si="10"/>
        <v>31</v>
      </c>
      <c r="M4" s="19">
        <f t="shared" si="10"/>
        <v>30</v>
      </c>
      <c r="N4" s="19">
        <f t="shared" si="10"/>
        <v>31</v>
      </c>
      <c r="O4" s="19">
        <f t="shared" si="10"/>
        <v>31</v>
      </c>
      <c r="P4" s="19">
        <f t="shared" si="10"/>
        <v>30</v>
      </c>
      <c r="Q4" s="19">
        <f t="shared" si="10"/>
        <v>31</v>
      </c>
      <c r="R4" s="19">
        <f t="shared" si="10"/>
        <v>30</v>
      </c>
      <c r="S4" s="19">
        <f t="shared" si="10"/>
        <v>31</v>
      </c>
      <c r="T4" s="19">
        <f t="shared" si="10"/>
        <v>31</v>
      </c>
      <c r="U4" s="19">
        <f t="shared" si="10"/>
        <v>28</v>
      </c>
      <c r="V4" s="19">
        <f t="shared" si="10"/>
        <v>31</v>
      </c>
      <c r="W4" s="19">
        <f t="shared" si="10"/>
        <v>30</v>
      </c>
      <c r="X4" s="19">
        <f t="shared" si="10"/>
        <v>31</v>
      </c>
      <c r="Y4" s="19">
        <f t="shared" si="10"/>
        <v>30</v>
      </c>
      <c r="Z4" s="19">
        <f t="shared" si="10"/>
        <v>31</v>
      </c>
      <c r="AA4" s="19">
        <f t="shared" si="10"/>
        <v>31</v>
      </c>
      <c r="AB4" s="19">
        <f t="shared" si="10"/>
        <v>30</v>
      </c>
      <c r="AC4" s="19">
        <f t="shared" si="10"/>
        <v>31</v>
      </c>
      <c r="AD4" s="19">
        <f t="shared" si="10"/>
        <v>30</v>
      </c>
      <c r="AE4" s="19">
        <f t="shared" si="10"/>
        <v>31</v>
      </c>
      <c r="AF4" s="19">
        <f t="shared" si="10"/>
        <v>31</v>
      </c>
      <c r="AG4" s="19">
        <f t="shared" si="10"/>
        <v>29</v>
      </c>
      <c r="AH4" s="19">
        <f t="shared" si="10"/>
        <v>31</v>
      </c>
      <c r="AI4" s="19">
        <f t="shared" si="10"/>
        <v>30</v>
      </c>
      <c r="AJ4" s="19">
        <f t="shared" si="10"/>
        <v>31</v>
      </c>
      <c r="AK4" s="19">
        <f t="shared" si="10"/>
        <v>30</v>
      </c>
      <c r="AL4" s="19">
        <f t="shared" si="10"/>
        <v>31</v>
      </c>
      <c r="AM4" s="19">
        <f t="shared" si="10"/>
        <v>31</v>
      </c>
      <c r="AN4" s="19">
        <f t="shared" ref="AN4:BI4" si="11">AO3-AN3</f>
        <v>30</v>
      </c>
      <c r="AO4" s="19">
        <f t="shared" si="11"/>
        <v>31</v>
      </c>
      <c r="AP4" s="19">
        <f t="shared" si="11"/>
        <v>30</v>
      </c>
      <c r="AQ4" s="19">
        <f t="shared" si="11"/>
        <v>31</v>
      </c>
      <c r="AR4" s="19">
        <f t="shared" si="11"/>
        <v>31</v>
      </c>
      <c r="AS4" s="19">
        <f t="shared" si="11"/>
        <v>28</v>
      </c>
      <c r="AT4" s="19">
        <f t="shared" si="11"/>
        <v>31</v>
      </c>
      <c r="AU4" s="19">
        <f t="shared" si="11"/>
        <v>30</v>
      </c>
      <c r="AV4" s="19">
        <f t="shared" si="11"/>
        <v>31</v>
      </c>
      <c r="AW4" s="19">
        <f t="shared" si="11"/>
        <v>30</v>
      </c>
      <c r="AX4" s="19">
        <f t="shared" si="11"/>
        <v>31</v>
      </c>
      <c r="AY4" s="19">
        <f t="shared" si="11"/>
        <v>31</v>
      </c>
      <c r="AZ4" s="19">
        <f t="shared" si="11"/>
        <v>30</v>
      </c>
      <c r="BA4" s="19">
        <f t="shared" si="11"/>
        <v>31</v>
      </c>
      <c r="BB4" s="19">
        <f t="shared" si="11"/>
        <v>30</v>
      </c>
      <c r="BC4" s="19">
        <f t="shared" si="11"/>
        <v>31</v>
      </c>
      <c r="BD4" s="19">
        <f t="shared" si="11"/>
        <v>31</v>
      </c>
      <c r="BE4" s="19">
        <f t="shared" si="11"/>
        <v>28</v>
      </c>
      <c r="BF4" s="19">
        <f t="shared" si="11"/>
        <v>31</v>
      </c>
      <c r="BG4" s="19">
        <f t="shared" si="11"/>
        <v>30</v>
      </c>
      <c r="BH4" s="19">
        <f t="shared" si="11"/>
        <v>31</v>
      </c>
      <c r="BI4" s="19">
        <f t="shared" si="11"/>
        <v>30</v>
      </c>
      <c r="BJ4" s="19">
        <f t="shared" ref="BJ4:BK4" si="12">BK3-BJ3</f>
        <v>31</v>
      </c>
      <c r="BK4" s="19">
        <f t="shared" si="12"/>
        <v>31</v>
      </c>
    </row>
    <row r="5" spans="1:122">
      <c r="A5" s="18" t="s">
        <v>9</v>
      </c>
      <c r="B5" s="18"/>
      <c r="C5" s="18"/>
      <c r="D5" s="19">
        <v>1</v>
      </c>
      <c r="E5" s="19">
        <f>D5+1</f>
        <v>2</v>
      </c>
      <c r="F5" s="19">
        <f t="shared" ref="F5:AM5" si="13">E5+1</f>
        <v>3</v>
      </c>
      <c r="G5" s="19">
        <f t="shared" si="13"/>
        <v>4</v>
      </c>
      <c r="H5" s="19">
        <f t="shared" si="13"/>
        <v>5</v>
      </c>
      <c r="I5" s="19">
        <f t="shared" si="13"/>
        <v>6</v>
      </c>
      <c r="J5" s="19">
        <f t="shared" si="13"/>
        <v>7</v>
      </c>
      <c r="K5" s="19">
        <f t="shared" si="13"/>
        <v>8</v>
      </c>
      <c r="L5" s="19">
        <f t="shared" si="13"/>
        <v>9</v>
      </c>
      <c r="M5" s="19">
        <f t="shared" si="13"/>
        <v>10</v>
      </c>
      <c r="N5" s="19">
        <f t="shared" si="13"/>
        <v>11</v>
      </c>
      <c r="O5" s="19">
        <f t="shared" si="13"/>
        <v>12</v>
      </c>
      <c r="P5" s="19">
        <f t="shared" si="13"/>
        <v>13</v>
      </c>
      <c r="Q5" s="19">
        <f t="shared" si="13"/>
        <v>14</v>
      </c>
      <c r="R5" s="19">
        <f t="shared" si="13"/>
        <v>15</v>
      </c>
      <c r="S5" s="19">
        <f t="shared" si="13"/>
        <v>16</v>
      </c>
      <c r="T5" s="19">
        <f t="shared" si="13"/>
        <v>17</v>
      </c>
      <c r="U5" s="19">
        <f t="shared" si="13"/>
        <v>18</v>
      </c>
      <c r="V5" s="19">
        <f t="shared" si="13"/>
        <v>19</v>
      </c>
      <c r="W5" s="19">
        <f t="shared" si="13"/>
        <v>20</v>
      </c>
      <c r="X5" s="19">
        <f t="shared" si="13"/>
        <v>21</v>
      </c>
      <c r="Y5" s="19">
        <f t="shared" si="13"/>
        <v>22</v>
      </c>
      <c r="Z5" s="19">
        <f t="shared" si="13"/>
        <v>23</v>
      </c>
      <c r="AA5" s="19">
        <f t="shared" si="13"/>
        <v>24</v>
      </c>
      <c r="AB5" s="19">
        <f t="shared" si="13"/>
        <v>25</v>
      </c>
      <c r="AC5" s="19">
        <f t="shared" si="13"/>
        <v>26</v>
      </c>
      <c r="AD5" s="19">
        <f t="shared" si="13"/>
        <v>27</v>
      </c>
      <c r="AE5" s="19">
        <f t="shared" si="13"/>
        <v>28</v>
      </c>
      <c r="AF5" s="19">
        <f t="shared" si="13"/>
        <v>29</v>
      </c>
      <c r="AG5" s="19">
        <f t="shared" si="13"/>
        <v>30</v>
      </c>
      <c r="AH5" s="19">
        <f t="shared" si="13"/>
        <v>31</v>
      </c>
      <c r="AI5" s="19">
        <f t="shared" si="13"/>
        <v>32</v>
      </c>
      <c r="AJ5" s="19">
        <f t="shared" si="13"/>
        <v>33</v>
      </c>
      <c r="AK5" s="19">
        <f>AJ5+1</f>
        <v>34</v>
      </c>
      <c r="AL5" s="19">
        <f t="shared" si="13"/>
        <v>35</v>
      </c>
      <c r="AM5" s="19">
        <f t="shared" si="13"/>
        <v>36</v>
      </c>
      <c r="AN5" s="19">
        <f t="shared" ref="AN5:BJ5" si="14">AM5+1</f>
        <v>37</v>
      </c>
      <c r="AO5" s="19">
        <f t="shared" si="14"/>
        <v>38</v>
      </c>
      <c r="AP5" s="19">
        <f t="shared" si="14"/>
        <v>39</v>
      </c>
      <c r="AQ5" s="19">
        <f t="shared" si="14"/>
        <v>40</v>
      </c>
      <c r="AR5" s="19">
        <f t="shared" si="14"/>
        <v>41</v>
      </c>
      <c r="AS5" s="19">
        <f t="shared" si="14"/>
        <v>42</v>
      </c>
      <c r="AT5" s="19">
        <f t="shared" si="14"/>
        <v>43</v>
      </c>
      <c r="AU5" s="19">
        <f t="shared" si="14"/>
        <v>44</v>
      </c>
      <c r="AV5" s="19">
        <f t="shared" si="14"/>
        <v>45</v>
      </c>
      <c r="AW5" s="19">
        <f t="shared" si="14"/>
        <v>46</v>
      </c>
      <c r="AX5" s="19">
        <f t="shared" si="14"/>
        <v>47</v>
      </c>
      <c r="AY5" s="19">
        <f t="shared" si="14"/>
        <v>48</v>
      </c>
      <c r="AZ5" s="19">
        <f t="shared" si="14"/>
        <v>49</v>
      </c>
      <c r="BA5" s="19">
        <f t="shared" si="14"/>
        <v>50</v>
      </c>
      <c r="BB5" s="19">
        <f t="shared" si="14"/>
        <v>51</v>
      </c>
      <c r="BC5" s="19">
        <f t="shared" si="14"/>
        <v>52</v>
      </c>
      <c r="BD5" s="19">
        <f t="shared" si="14"/>
        <v>53</v>
      </c>
      <c r="BE5" s="19">
        <f t="shared" si="14"/>
        <v>54</v>
      </c>
      <c r="BF5" s="19">
        <f t="shared" si="14"/>
        <v>55</v>
      </c>
      <c r="BG5" s="19">
        <f t="shared" si="14"/>
        <v>56</v>
      </c>
      <c r="BH5" s="19">
        <f t="shared" si="14"/>
        <v>57</v>
      </c>
      <c r="BI5" s="19">
        <f t="shared" si="14"/>
        <v>58</v>
      </c>
      <c r="BJ5" s="19">
        <f t="shared" si="14"/>
        <v>59</v>
      </c>
      <c r="BK5" s="19">
        <f t="shared" ref="BK5" si="15">BJ5+1</f>
        <v>60</v>
      </c>
    </row>
    <row r="6" spans="1:122">
      <c r="BM6" s="4"/>
      <c r="BO6" s="4"/>
      <c r="BT6" s="4"/>
      <c r="BV6" s="4"/>
      <c r="BX6" s="4"/>
      <c r="BZ6" s="4"/>
      <c r="CB6" s="4"/>
      <c r="CD6" s="4"/>
      <c r="CF6" s="4"/>
      <c r="CH6" s="4"/>
      <c r="CJ6" s="4"/>
      <c r="CL6" s="4"/>
      <c r="CN6" s="4"/>
      <c r="CP6" s="4"/>
      <c r="CR6" s="4"/>
      <c r="CT6" s="4"/>
      <c r="CV6" s="4"/>
      <c r="CX6" s="4"/>
      <c r="CZ6" s="4"/>
      <c r="DB6" s="4"/>
      <c r="DD6" s="4"/>
      <c r="DF6" s="4"/>
      <c r="DH6" s="4"/>
      <c r="DJ6" s="4"/>
      <c r="DL6" s="4"/>
      <c r="DN6" s="4"/>
      <c r="DP6" s="4"/>
      <c r="DR6" s="4"/>
    </row>
    <row r="7" spans="1:122">
      <c r="A7" s="18" t="s">
        <v>96</v>
      </c>
      <c r="B7" s="19" t="s">
        <v>1</v>
      </c>
      <c r="C7" s="19" t="s">
        <v>98</v>
      </c>
    </row>
    <row r="8" spans="1:122">
      <c r="A8" s="27" t="s">
        <v>97</v>
      </c>
      <c r="B8" s="28" t="s">
        <v>256</v>
      </c>
      <c r="C8" s="26">
        <f>Допущения!$C$68</f>
        <v>0.2</v>
      </c>
      <c r="D8" s="25">
        <f>$C8*Выручка!B19</f>
        <v>0</v>
      </c>
      <c r="E8" s="25">
        <f>$C8*Выручка!C19</f>
        <v>0</v>
      </c>
      <c r="F8" s="25">
        <f>$C8*Выручка!D19</f>
        <v>0</v>
      </c>
      <c r="G8" s="25">
        <f>$C8*Выручка!E19</f>
        <v>9672.6666666666679</v>
      </c>
      <c r="H8" s="25">
        <f>$C8*Выручка!F19</f>
        <v>20312.600000000002</v>
      </c>
      <c r="I8" s="25">
        <f>$C8*Выручка!G19</f>
        <v>30468.900000000009</v>
      </c>
      <c r="J8" s="25">
        <f>$C8*Выручка!H19</f>
        <v>40625.200000000004</v>
      </c>
      <c r="K8" s="25">
        <f>$C8*Выручка!I19</f>
        <v>50781.500000000007</v>
      </c>
      <c r="L8" s="25">
        <f>$C8*Выручка!J19</f>
        <v>50781.500000000007</v>
      </c>
      <c r="M8" s="25">
        <f>$C8*Выручка!K19</f>
        <v>50781.500000000007</v>
      </c>
      <c r="N8" s="25">
        <f>$C8*Выручка!L19</f>
        <v>50781.500000000007</v>
      </c>
      <c r="O8" s="25">
        <f>$C8*Выручка!M19</f>
        <v>50781.500000000007</v>
      </c>
      <c r="P8" s="25">
        <f>$C8*Выручка!N19</f>
        <v>50781.500000000007</v>
      </c>
      <c r="Q8" s="25">
        <f>$C8*Выручка!O19</f>
        <v>50781.500000000007</v>
      </c>
      <c r="R8" s="25">
        <f>$C8*Выручка!P19</f>
        <v>50781.500000000007</v>
      </c>
      <c r="S8" s="25">
        <f>$C8*Выручка!Q19</f>
        <v>50781.500000000007</v>
      </c>
      <c r="T8" s="25">
        <f>$C8*Выручка!R19</f>
        <v>53320.575000000012</v>
      </c>
      <c r="U8" s="25">
        <f>$C8*Выручка!S19</f>
        <v>53320.575000000012</v>
      </c>
      <c r="V8" s="25">
        <f>$C8*Выручка!T19</f>
        <v>53320.575000000012</v>
      </c>
      <c r="W8" s="25">
        <f>$C8*Выручка!U19</f>
        <v>53320.575000000012</v>
      </c>
      <c r="X8" s="25">
        <f>$C8*Выручка!V19</f>
        <v>53320.575000000012</v>
      </c>
      <c r="Y8" s="25">
        <f>$C8*Выручка!W19</f>
        <v>53320.575000000012</v>
      </c>
      <c r="Z8" s="25">
        <f>$C8*Выручка!X19</f>
        <v>53320.575000000012</v>
      </c>
      <c r="AA8" s="25">
        <f>$C8*Выручка!Y19</f>
        <v>53320.575000000012</v>
      </c>
      <c r="AB8" s="25">
        <f>$C8*Выручка!Z19</f>
        <v>53320.575000000012</v>
      </c>
      <c r="AC8" s="25">
        <f>$C8*Выручка!AA19</f>
        <v>53320.575000000012</v>
      </c>
      <c r="AD8" s="25">
        <f>$C8*Выручка!AB19</f>
        <v>53320.575000000012</v>
      </c>
      <c r="AE8" s="25">
        <f>$C8*Выручка!AC19</f>
        <v>53320.575000000012</v>
      </c>
      <c r="AF8" s="25">
        <f>$C8*Выручка!AD19</f>
        <v>55986.603750000009</v>
      </c>
      <c r="AG8" s="25">
        <f>$C8*Выручка!AE19</f>
        <v>55986.603750000009</v>
      </c>
      <c r="AH8" s="25">
        <f>$C8*Выручка!AF19</f>
        <v>55986.603750000009</v>
      </c>
      <c r="AI8" s="25">
        <f>$C8*Выручка!AG19</f>
        <v>55986.603750000009</v>
      </c>
      <c r="AJ8" s="25">
        <f>$C8*Выручка!AH19</f>
        <v>55986.603750000009</v>
      </c>
      <c r="AK8" s="25">
        <f>$C8*Выручка!AI19</f>
        <v>55986.603750000009</v>
      </c>
      <c r="AL8" s="25">
        <f>$C8*Выручка!AJ19</f>
        <v>55986.603750000009</v>
      </c>
      <c r="AM8" s="25">
        <f>$C8*Выручка!AK19</f>
        <v>55986.603750000009</v>
      </c>
      <c r="AN8" s="25">
        <f>$C8*Выручка!AL19</f>
        <v>55986.603750000009</v>
      </c>
      <c r="AO8" s="25">
        <f>$C8*Выручка!AM19</f>
        <v>55986.603750000009</v>
      </c>
      <c r="AP8" s="25">
        <f>$C8*Выручка!AN19</f>
        <v>55986.603750000009</v>
      </c>
      <c r="AQ8" s="25">
        <f>$C8*Выручка!AO19</f>
        <v>55986.603750000009</v>
      </c>
      <c r="AR8" s="25">
        <f>$C8*Выручка!AP19</f>
        <v>58785.933937500027</v>
      </c>
      <c r="AS8" s="25">
        <f>$C8*Выручка!AQ19</f>
        <v>58785.933937500027</v>
      </c>
      <c r="AT8" s="25">
        <f>$C8*Выручка!AR19</f>
        <v>58785.933937500027</v>
      </c>
      <c r="AU8" s="25">
        <f>$C8*Выручка!AS19</f>
        <v>58785.933937500027</v>
      </c>
      <c r="AV8" s="25">
        <f>$C8*Выручка!AT19</f>
        <v>58785.933937500027</v>
      </c>
      <c r="AW8" s="25">
        <f>$C8*Выручка!AU19</f>
        <v>58785.933937500027</v>
      </c>
      <c r="AX8" s="25">
        <f>$C8*Выручка!AV19</f>
        <v>58785.933937500027</v>
      </c>
      <c r="AY8" s="25">
        <f>$C8*Выручка!AW19</f>
        <v>58785.933937500027</v>
      </c>
      <c r="AZ8" s="25">
        <f>$C8*Выручка!AX19</f>
        <v>58785.933937500027</v>
      </c>
      <c r="BA8" s="25">
        <f>$C8*Выручка!AY19</f>
        <v>58785.933937500027</v>
      </c>
      <c r="BB8" s="25">
        <f>$C8*Выручка!AZ19</f>
        <v>58785.933937500027</v>
      </c>
      <c r="BC8" s="25">
        <f>$C8*Выручка!BA19</f>
        <v>58785.933937500027</v>
      </c>
      <c r="BD8" s="25">
        <f>$C8*Выручка!BB19</f>
        <v>61725.230634375039</v>
      </c>
      <c r="BE8" s="25">
        <f>$C8*Выручка!BC19</f>
        <v>61725.230634375039</v>
      </c>
      <c r="BF8" s="25">
        <f>$C8*Выручка!BD19</f>
        <v>61725.230634375039</v>
      </c>
      <c r="BG8" s="25">
        <f>$C8*Выручка!BE19</f>
        <v>61725.230634375039</v>
      </c>
      <c r="BH8" s="25">
        <f>$C8*Выручка!BF19</f>
        <v>61725.230634375039</v>
      </c>
      <c r="BI8" s="25">
        <f>$C8*Выручка!BG19</f>
        <v>61725.230634375039</v>
      </c>
      <c r="BJ8" s="25">
        <f>$C8*Выручка!BH19</f>
        <v>61725.230634375039</v>
      </c>
      <c r="BK8" s="25">
        <f>$C8*Выручка!BI19</f>
        <v>61725.230634375039</v>
      </c>
      <c r="BM8" s="25">
        <f t="shared" ref="BM8:BR9" si="16">SUMIF($D$2:$BK$2,BM$2,$D8:$BK8)</f>
        <v>9672.6666666666679</v>
      </c>
      <c r="BN8" s="25">
        <f t="shared" si="16"/>
        <v>548440.20000000007</v>
      </c>
      <c r="BO8" s="25">
        <f t="shared" si="16"/>
        <v>639846.90000000014</v>
      </c>
      <c r="BP8" s="25">
        <f t="shared" si="16"/>
        <v>671839.24500000011</v>
      </c>
      <c r="BQ8" s="25">
        <f t="shared" si="16"/>
        <v>705431.20725000009</v>
      </c>
      <c r="BR8" s="25">
        <f t="shared" si="16"/>
        <v>493801.84507500019</v>
      </c>
    </row>
    <row r="9" spans="1:122">
      <c r="A9" s="18" t="s">
        <v>11</v>
      </c>
      <c r="B9" s="19" t="s">
        <v>256</v>
      </c>
      <c r="C9" s="18"/>
      <c r="D9" s="24">
        <f t="shared" ref="D9:G9" si="17">SUM(D8:D8)</f>
        <v>0</v>
      </c>
      <c r="E9" s="24">
        <f t="shared" si="17"/>
        <v>0</v>
      </c>
      <c r="F9" s="24">
        <f t="shared" si="17"/>
        <v>0</v>
      </c>
      <c r="G9" s="24">
        <f t="shared" si="17"/>
        <v>9672.6666666666679</v>
      </c>
      <c r="H9" s="24">
        <f t="shared" ref="H9:BJ9" si="18">SUM(H8:H8)</f>
        <v>20312.600000000002</v>
      </c>
      <c r="I9" s="24">
        <f t="shared" si="18"/>
        <v>30468.900000000009</v>
      </c>
      <c r="J9" s="24">
        <f t="shared" si="18"/>
        <v>40625.200000000004</v>
      </c>
      <c r="K9" s="24">
        <f t="shared" si="18"/>
        <v>50781.500000000007</v>
      </c>
      <c r="L9" s="24">
        <f t="shared" si="18"/>
        <v>50781.500000000007</v>
      </c>
      <c r="M9" s="24">
        <f t="shared" si="18"/>
        <v>50781.500000000007</v>
      </c>
      <c r="N9" s="24">
        <f t="shared" si="18"/>
        <v>50781.500000000007</v>
      </c>
      <c r="O9" s="24">
        <f t="shared" si="18"/>
        <v>50781.500000000007</v>
      </c>
      <c r="P9" s="24">
        <f t="shared" si="18"/>
        <v>50781.500000000007</v>
      </c>
      <c r="Q9" s="24">
        <f t="shared" si="18"/>
        <v>50781.500000000007</v>
      </c>
      <c r="R9" s="24">
        <f t="shared" si="18"/>
        <v>50781.500000000007</v>
      </c>
      <c r="S9" s="24">
        <f t="shared" si="18"/>
        <v>50781.500000000007</v>
      </c>
      <c r="T9" s="24">
        <f t="shared" si="18"/>
        <v>53320.575000000012</v>
      </c>
      <c r="U9" s="24">
        <f t="shared" si="18"/>
        <v>53320.575000000012</v>
      </c>
      <c r="V9" s="24">
        <f t="shared" si="18"/>
        <v>53320.575000000012</v>
      </c>
      <c r="W9" s="24">
        <f t="shared" si="18"/>
        <v>53320.575000000012</v>
      </c>
      <c r="X9" s="24">
        <f t="shared" si="18"/>
        <v>53320.575000000012</v>
      </c>
      <c r="Y9" s="24">
        <f t="shared" si="18"/>
        <v>53320.575000000012</v>
      </c>
      <c r="Z9" s="24">
        <f t="shared" si="18"/>
        <v>53320.575000000012</v>
      </c>
      <c r="AA9" s="24">
        <f t="shared" si="18"/>
        <v>53320.575000000012</v>
      </c>
      <c r="AB9" s="24">
        <f t="shared" si="18"/>
        <v>53320.575000000012</v>
      </c>
      <c r="AC9" s="24">
        <f t="shared" si="18"/>
        <v>53320.575000000012</v>
      </c>
      <c r="AD9" s="24">
        <f t="shared" si="18"/>
        <v>53320.575000000012</v>
      </c>
      <c r="AE9" s="24">
        <f t="shared" si="18"/>
        <v>53320.575000000012</v>
      </c>
      <c r="AF9" s="24">
        <f t="shared" si="18"/>
        <v>55986.603750000009</v>
      </c>
      <c r="AG9" s="24">
        <f t="shared" si="18"/>
        <v>55986.603750000009</v>
      </c>
      <c r="AH9" s="24">
        <f t="shared" si="18"/>
        <v>55986.603750000009</v>
      </c>
      <c r="AI9" s="24">
        <f t="shared" si="18"/>
        <v>55986.603750000009</v>
      </c>
      <c r="AJ9" s="24">
        <f t="shared" si="18"/>
        <v>55986.603750000009</v>
      </c>
      <c r="AK9" s="24">
        <f t="shared" si="18"/>
        <v>55986.603750000009</v>
      </c>
      <c r="AL9" s="24">
        <f t="shared" si="18"/>
        <v>55986.603750000009</v>
      </c>
      <c r="AM9" s="24">
        <f t="shared" si="18"/>
        <v>55986.603750000009</v>
      </c>
      <c r="AN9" s="24">
        <f t="shared" si="18"/>
        <v>55986.603750000009</v>
      </c>
      <c r="AO9" s="24">
        <f t="shared" si="18"/>
        <v>55986.603750000009</v>
      </c>
      <c r="AP9" s="24">
        <f t="shared" si="18"/>
        <v>55986.603750000009</v>
      </c>
      <c r="AQ9" s="24">
        <f t="shared" si="18"/>
        <v>55986.603750000009</v>
      </c>
      <c r="AR9" s="24">
        <f t="shared" si="18"/>
        <v>58785.933937500027</v>
      </c>
      <c r="AS9" s="24">
        <f t="shared" si="18"/>
        <v>58785.933937500027</v>
      </c>
      <c r="AT9" s="24">
        <f t="shared" si="18"/>
        <v>58785.933937500027</v>
      </c>
      <c r="AU9" s="24">
        <f t="shared" si="18"/>
        <v>58785.933937500027</v>
      </c>
      <c r="AV9" s="24">
        <f t="shared" si="18"/>
        <v>58785.933937500027</v>
      </c>
      <c r="AW9" s="24">
        <f t="shared" si="18"/>
        <v>58785.933937500027</v>
      </c>
      <c r="AX9" s="24">
        <f t="shared" si="18"/>
        <v>58785.933937500027</v>
      </c>
      <c r="AY9" s="24">
        <f t="shared" si="18"/>
        <v>58785.933937500027</v>
      </c>
      <c r="AZ9" s="24">
        <f t="shared" si="18"/>
        <v>58785.933937500027</v>
      </c>
      <c r="BA9" s="24">
        <f t="shared" si="18"/>
        <v>58785.933937500027</v>
      </c>
      <c r="BB9" s="24">
        <f t="shared" si="18"/>
        <v>58785.933937500027</v>
      </c>
      <c r="BC9" s="24">
        <f t="shared" si="18"/>
        <v>58785.933937500027</v>
      </c>
      <c r="BD9" s="24">
        <f t="shared" si="18"/>
        <v>61725.230634375039</v>
      </c>
      <c r="BE9" s="24">
        <f t="shared" si="18"/>
        <v>61725.230634375039</v>
      </c>
      <c r="BF9" s="24">
        <f t="shared" si="18"/>
        <v>61725.230634375039</v>
      </c>
      <c r="BG9" s="24">
        <f t="shared" si="18"/>
        <v>61725.230634375039</v>
      </c>
      <c r="BH9" s="24">
        <f t="shared" si="18"/>
        <v>61725.230634375039</v>
      </c>
      <c r="BI9" s="24">
        <f t="shared" si="18"/>
        <v>61725.230634375039</v>
      </c>
      <c r="BJ9" s="24">
        <f t="shared" si="18"/>
        <v>61725.230634375039</v>
      </c>
      <c r="BK9" s="24">
        <f t="shared" ref="BK9" si="19">SUM(BK8:BK8)</f>
        <v>61725.230634375039</v>
      </c>
      <c r="BM9" s="24">
        <f t="shared" si="16"/>
        <v>9672.6666666666679</v>
      </c>
      <c r="BN9" s="24">
        <f t="shared" si="16"/>
        <v>548440.20000000007</v>
      </c>
      <c r="BO9" s="24">
        <f t="shared" si="16"/>
        <v>639846.90000000014</v>
      </c>
      <c r="BP9" s="24">
        <f t="shared" si="16"/>
        <v>671839.24500000011</v>
      </c>
      <c r="BQ9" s="24">
        <f t="shared" si="16"/>
        <v>705431.20725000009</v>
      </c>
      <c r="BR9" s="24">
        <f t="shared" si="16"/>
        <v>493801.84507500019</v>
      </c>
    </row>
    <row r="11" spans="1:122">
      <c r="A11" s="18" t="s">
        <v>106</v>
      </c>
      <c r="B11" s="19" t="s">
        <v>1</v>
      </c>
      <c r="C11" s="19" t="s">
        <v>98</v>
      </c>
    </row>
    <row r="12" spans="1:122">
      <c r="A12" s="27" t="s">
        <v>36</v>
      </c>
      <c r="B12" s="28" t="s">
        <v>256</v>
      </c>
      <c r="C12" s="26">
        <f>Допущения!$C$68</f>
        <v>0.2</v>
      </c>
      <c r="D12" s="25">
        <f>$C12*Капвложения!B$17</f>
        <v>21613.615833333337</v>
      </c>
      <c r="E12" s="25">
        <f>$C12*Капвложения!C$17</f>
        <v>4068.1695</v>
      </c>
      <c r="F12" s="25">
        <f>$C12*Капвложения!D$17</f>
        <v>2712.1130000000003</v>
      </c>
      <c r="G12" s="25">
        <f>$C12*Капвложения!E$17</f>
        <v>0</v>
      </c>
      <c r="H12" s="25">
        <f>$C12*Капвложения!F$17</f>
        <v>0</v>
      </c>
      <c r="I12" s="25">
        <f>$C12*Капвложения!G$17</f>
        <v>0</v>
      </c>
      <c r="J12" s="25">
        <f>$C12*Капвложения!H$17</f>
        <v>0</v>
      </c>
      <c r="K12" s="25">
        <f>$C12*Капвложения!I$17</f>
        <v>0</v>
      </c>
      <c r="L12" s="25">
        <f>$C12*Капвложения!J$17</f>
        <v>0</v>
      </c>
      <c r="M12" s="25">
        <f>$C12*Капвложения!K$17</f>
        <v>0</v>
      </c>
      <c r="N12" s="25">
        <f>$C12*Капвложения!L$17</f>
        <v>0</v>
      </c>
      <c r="O12" s="25">
        <f>$C12*Капвложения!M$17</f>
        <v>0</v>
      </c>
      <c r="P12" s="25">
        <f>$C12*Капвложения!N$17</f>
        <v>0</v>
      </c>
      <c r="Q12" s="25">
        <f>$C12*Капвложения!O$17</f>
        <v>0</v>
      </c>
      <c r="R12" s="25">
        <f>$C12*Капвложения!P$17</f>
        <v>0</v>
      </c>
      <c r="S12" s="25">
        <f>$C12*Капвложения!Q$17</f>
        <v>0</v>
      </c>
      <c r="T12" s="25">
        <f>$C12*Капвложения!R$17</f>
        <v>0</v>
      </c>
      <c r="U12" s="25">
        <f>$C12*Капвложения!S$17</f>
        <v>0</v>
      </c>
      <c r="V12" s="25">
        <f>$C12*Капвложения!T$17</f>
        <v>0</v>
      </c>
      <c r="W12" s="25">
        <f>$C12*Капвложения!U$17</f>
        <v>0</v>
      </c>
      <c r="X12" s="25">
        <f>$C12*Капвложения!V$17</f>
        <v>0</v>
      </c>
      <c r="Y12" s="25">
        <f>$C12*Капвложения!W$17</f>
        <v>0</v>
      </c>
      <c r="Z12" s="25">
        <f>$C12*Капвложения!X$17</f>
        <v>0</v>
      </c>
      <c r="AA12" s="25">
        <f>$C12*Капвложения!Y$17</f>
        <v>0</v>
      </c>
      <c r="AB12" s="25">
        <f>$C12*Капвложения!Z$17</f>
        <v>0</v>
      </c>
      <c r="AC12" s="25">
        <f>$C12*Капвложения!AA$17</f>
        <v>0</v>
      </c>
      <c r="AD12" s="25">
        <f>$C12*Капвложения!AB$17</f>
        <v>0</v>
      </c>
      <c r="AE12" s="25">
        <f>$C12*Капвложения!AC$17</f>
        <v>0</v>
      </c>
      <c r="AF12" s="25">
        <f>$C12*Капвложения!AD$17</f>
        <v>0</v>
      </c>
      <c r="AG12" s="25">
        <f>$C12*Капвложения!AE$17</f>
        <v>0</v>
      </c>
      <c r="AH12" s="25">
        <f>$C12*Капвложения!AF$17</f>
        <v>0</v>
      </c>
      <c r="AI12" s="25">
        <f>$C12*Капвложения!AG$17</f>
        <v>0</v>
      </c>
      <c r="AJ12" s="25">
        <f>$C12*Капвложения!AH$17</f>
        <v>0</v>
      </c>
      <c r="AK12" s="25">
        <f>$C12*Капвложения!AI$17</f>
        <v>0</v>
      </c>
      <c r="AL12" s="25">
        <f>$C12*Капвложения!AJ$17</f>
        <v>0</v>
      </c>
      <c r="AM12" s="25">
        <f>$C12*Капвложения!AK$17</f>
        <v>0</v>
      </c>
      <c r="AN12" s="25">
        <f>$C12*Капвложения!AL$17</f>
        <v>0</v>
      </c>
      <c r="AO12" s="25">
        <f>$C12*Капвложения!AM$17</f>
        <v>0</v>
      </c>
      <c r="AP12" s="25">
        <f>$C12*Капвложения!AN$17</f>
        <v>0</v>
      </c>
      <c r="AQ12" s="25">
        <f>$C12*Капвложения!AO$17</f>
        <v>0</v>
      </c>
      <c r="AR12" s="25">
        <f>$C12*Капвложения!AP$17</f>
        <v>0</v>
      </c>
      <c r="AS12" s="25">
        <f>$C12*Капвложения!AQ$17</f>
        <v>0</v>
      </c>
      <c r="AT12" s="25">
        <f>$C12*Капвложения!AR$17</f>
        <v>0</v>
      </c>
      <c r="AU12" s="25">
        <f>$C12*Капвложения!AS$17</f>
        <v>0</v>
      </c>
      <c r="AV12" s="25">
        <f>$C12*Капвложения!AT$17</f>
        <v>0</v>
      </c>
      <c r="AW12" s="25">
        <f>$C12*Капвложения!AU$17</f>
        <v>0</v>
      </c>
      <c r="AX12" s="25">
        <f>$C12*Капвложения!AV$17</f>
        <v>0</v>
      </c>
      <c r="AY12" s="25">
        <f>$C12*Капвложения!AW$17</f>
        <v>0</v>
      </c>
      <c r="AZ12" s="25">
        <f>$C12*Капвложения!AX$17</f>
        <v>0</v>
      </c>
      <c r="BA12" s="25">
        <f>$C12*Капвложения!AY$17</f>
        <v>0</v>
      </c>
      <c r="BB12" s="25">
        <f>$C12*Капвложения!AZ$17</f>
        <v>0</v>
      </c>
      <c r="BC12" s="25">
        <f>$C12*Капвложения!BA$17</f>
        <v>0</v>
      </c>
      <c r="BD12" s="25">
        <f>$C12*Капвложения!BB$17</f>
        <v>0</v>
      </c>
      <c r="BE12" s="25">
        <f>$C12*Капвложения!BC$17</f>
        <v>0</v>
      </c>
      <c r="BF12" s="25">
        <f>$C12*Капвложения!BD$17</f>
        <v>0</v>
      </c>
      <c r="BG12" s="25">
        <f>$C12*Капвложения!BE$17</f>
        <v>0</v>
      </c>
      <c r="BH12" s="25">
        <f>$C12*Капвложения!BF$17</f>
        <v>0</v>
      </c>
      <c r="BI12" s="25">
        <f>$C12*Капвложения!BG$17</f>
        <v>0</v>
      </c>
      <c r="BJ12" s="25">
        <f>$C12*Капвложения!BH$17</f>
        <v>0</v>
      </c>
      <c r="BK12" s="25">
        <f>$C12*Капвложения!BI$17</f>
        <v>0</v>
      </c>
      <c r="BM12" s="25">
        <f t="shared" ref="BM12:BR14" si="20">SUMIF($D$2:$BK$2,BM$2,$D12:$BK12)</f>
        <v>28393.898333333338</v>
      </c>
      <c r="BN12" s="25">
        <f t="shared" si="20"/>
        <v>0</v>
      </c>
      <c r="BO12" s="25">
        <f t="shared" si="20"/>
        <v>0</v>
      </c>
      <c r="BP12" s="25">
        <f t="shared" si="20"/>
        <v>0</v>
      </c>
      <c r="BQ12" s="25">
        <f t="shared" si="20"/>
        <v>0</v>
      </c>
      <c r="BR12" s="25">
        <f t="shared" si="20"/>
        <v>0</v>
      </c>
    </row>
    <row r="13" spans="1:122">
      <c r="A13" s="27" t="s">
        <v>99</v>
      </c>
      <c r="B13" s="28" t="s">
        <v>256</v>
      </c>
      <c r="C13" s="26">
        <f>Допущения!$C$68</f>
        <v>0.2</v>
      </c>
      <c r="D13" s="25">
        <f>$C13*(Затраты!C64-Затраты!C63-Затраты!C57-Затраты!C56)</f>
        <v>9.8755799999999923</v>
      </c>
      <c r="E13" s="25">
        <f>$C13*(Затраты!D64-Затраты!D63-Затраты!D57-Затраты!D56)</f>
        <v>9.8755799999999923</v>
      </c>
      <c r="F13" s="25">
        <f>$C13*(Затраты!E64-Затраты!E63-Затраты!E57-Затраты!E56)</f>
        <v>5795.0422466666669</v>
      </c>
      <c r="G13" s="25">
        <f>$C13*(Затраты!F64-Затраты!F63-Затраты!F57-Затраты!F56)</f>
        <v>11885.892979027783</v>
      </c>
      <c r="H13" s="25">
        <f>$C13*(Затраты!G64-Затраты!G63-Затраты!G57-Затраты!G56)</f>
        <v>18553.166044161113</v>
      </c>
      <c r="I13" s="25">
        <f>$C13*(Затраты!H64-Затраты!H63-Затраты!H57-Затраты!H56)</f>
        <v>24627.591044161112</v>
      </c>
      <c r="J13" s="25">
        <f>$C13*(Затраты!I64-Затраты!I63-Затраты!I57-Затраты!I56)</f>
        <v>30702.016044161122</v>
      </c>
      <c r="K13" s="25">
        <f>$C13*(Затраты!J64-Затраты!J63-Затраты!J57-Затраты!J56)</f>
        <v>30702.016044161122</v>
      </c>
      <c r="L13" s="25">
        <f>$C13*(Затраты!K64-Затраты!K63-Затраты!K57-Затраты!K56)</f>
        <v>30702.016044161122</v>
      </c>
      <c r="M13" s="25">
        <f>$C13*(Затраты!L64-Затраты!L63-Затраты!L57-Затраты!L56)</f>
        <v>30702.016044161122</v>
      </c>
      <c r="N13" s="25">
        <f>$C13*(Затраты!M64-Затраты!M63-Затраты!M57-Затраты!M56)</f>
        <v>30702.016044161122</v>
      </c>
      <c r="O13" s="25">
        <f>$C13*(Затраты!N64-Затраты!N63-Затраты!N57-Затраты!N56)</f>
        <v>30702.016044161122</v>
      </c>
      <c r="P13" s="25">
        <f>$C13*(Затраты!O64-Затраты!O63-Затраты!O57-Затраты!O56)</f>
        <v>30702.016044161122</v>
      </c>
      <c r="Q13" s="25">
        <f>$C13*(Затраты!P64-Затраты!P63-Затраты!P57-Затраты!P56)</f>
        <v>30702.016044161122</v>
      </c>
      <c r="R13" s="25">
        <f>$C13*(Затраты!Q64-Затраты!Q63-Затраты!Q57-Затраты!Q56)</f>
        <v>30702.016044161122</v>
      </c>
      <c r="S13" s="25">
        <f>$C13*(Затраты!R64-Затраты!R63-Затраты!R57-Затраты!R56)</f>
        <v>30702.016044161122</v>
      </c>
      <c r="T13" s="25">
        <f>$C13*(Затраты!S64-Затраты!S63-Затраты!S57-Затраты!S56)</f>
        <v>32235.63380441512</v>
      </c>
      <c r="U13" s="25">
        <f>$C13*(Затраты!T64-Затраты!T63-Затраты!T57-Затраты!T56)</f>
        <v>32235.63380441512</v>
      </c>
      <c r="V13" s="25">
        <f>$C13*(Затраты!U64-Затраты!U63-Затраты!U57-Затраты!U56)</f>
        <v>32235.63380441512</v>
      </c>
      <c r="W13" s="25">
        <f>$C13*(Затраты!V64-Затраты!V63-Затраты!V57-Затраты!V56)</f>
        <v>32235.63380441512</v>
      </c>
      <c r="X13" s="25">
        <f>$C13*(Затраты!W64-Затраты!W63-Затраты!W57-Затраты!W56)</f>
        <v>32235.63380441512</v>
      </c>
      <c r="Y13" s="25">
        <f>$C13*(Затраты!X64-Затраты!X63-Затраты!X57-Затраты!X56)</f>
        <v>32235.63380441512</v>
      </c>
      <c r="Z13" s="25">
        <f>$C13*(Затраты!Y64-Затраты!Y63-Затраты!Y57-Затраты!Y56)</f>
        <v>32235.63380441512</v>
      </c>
      <c r="AA13" s="25">
        <f>$C13*(Затраты!Z64-Затраты!Z63-Затраты!Z57-Затраты!Z56)</f>
        <v>32235.63380441512</v>
      </c>
      <c r="AB13" s="25">
        <f>$C13*(Затраты!AA64-Затраты!AA63-Затраты!AA57-Затраты!AA56)</f>
        <v>32235.63380441512</v>
      </c>
      <c r="AC13" s="25">
        <f>$C13*(Затраты!AB64-Затраты!AB63-Затраты!AB57-Затраты!AB56)</f>
        <v>32235.63380441512</v>
      </c>
      <c r="AD13" s="25">
        <f>$C13*(Затраты!AC64-Затраты!AC63-Затраты!AC57-Затраты!AC56)</f>
        <v>32235.63380441512</v>
      </c>
      <c r="AE13" s="25">
        <f>$C13*(Затраты!AD64-Затраты!AD63-Затраты!AD57-Затраты!AD56)</f>
        <v>32235.63380441512</v>
      </c>
      <c r="AF13" s="25">
        <f>$C13*(Затраты!AE64-Затраты!AE63-Затраты!AE57-Затраты!AE56)</f>
        <v>33845.894900801737</v>
      </c>
      <c r="AG13" s="25">
        <f>$C13*(Затраты!AF64-Затраты!AF63-Затраты!AF57-Затраты!AF56)</f>
        <v>33845.894900801737</v>
      </c>
      <c r="AH13" s="25">
        <f>$C13*(Затраты!AG64-Затраты!AG63-Затраты!AG57-Затраты!AG56)</f>
        <v>33845.894900801737</v>
      </c>
      <c r="AI13" s="25">
        <f>$C13*(Затраты!AH64-Затраты!AH63-Затраты!AH57-Затраты!AH56)</f>
        <v>33845.894900801737</v>
      </c>
      <c r="AJ13" s="25">
        <f>$C13*(Затраты!AI64-Затраты!AI63-Затраты!AI57-Затраты!AI56)</f>
        <v>33845.894900801737</v>
      </c>
      <c r="AK13" s="25">
        <f>$C13*(Затраты!AJ64-Затраты!AJ63-Затраты!AJ57-Затраты!AJ56)</f>
        <v>33845.894900801737</v>
      </c>
      <c r="AL13" s="25">
        <f>$C13*(Затраты!AK64-Затраты!AK63-Затраты!AK57-Затраты!AK56)</f>
        <v>33845.894900801737</v>
      </c>
      <c r="AM13" s="25">
        <f>$C13*(Затраты!AL64-Затраты!AL63-Затраты!AL57-Затраты!AL56)</f>
        <v>33845.894900801737</v>
      </c>
      <c r="AN13" s="25">
        <f>$C13*(Затраты!AM64-Затраты!AM63-Затраты!AM57-Затраты!AM56)</f>
        <v>33845.894900801737</v>
      </c>
      <c r="AO13" s="25">
        <f>$C13*(Затраты!AN64-Затраты!AN63-Затраты!AN57-Затраты!AN56)</f>
        <v>33845.894900801737</v>
      </c>
      <c r="AP13" s="25">
        <f>$C13*(Затраты!AO64-Затраты!AO63-Затраты!AO57-Затраты!AO56)</f>
        <v>33845.894900801737</v>
      </c>
      <c r="AQ13" s="25">
        <f>$C13*(Затраты!AP64-Затраты!AP63-Затраты!AP57-Затраты!AP56)</f>
        <v>33845.894900801737</v>
      </c>
      <c r="AR13" s="25">
        <f>$C13*(Затраты!AQ64-Затраты!AQ63-Затраты!AQ57-Затраты!AQ56)</f>
        <v>35536.630373571206</v>
      </c>
      <c r="AS13" s="25">
        <f>$C13*(Затраты!AR64-Затраты!AR63-Затраты!AR57-Затраты!AR56)</f>
        <v>35536.630373571206</v>
      </c>
      <c r="AT13" s="25">
        <f>$C13*(Затраты!AS64-Затраты!AS63-Затраты!AS57-Затраты!AS56)</f>
        <v>35536.630373571206</v>
      </c>
      <c r="AU13" s="25">
        <f>$C13*(Затраты!AT64-Затраты!AT63-Затраты!AT57-Затраты!AT56)</f>
        <v>35536.630373571206</v>
      </c>
      <c r="AV13" s="25">
        <f>$C13*(Затраты!AU64-Затраты!AU63-Затраты!AU57-Затраты!AU56)</f>
        <v>35536.630373571206</v>
      </c>
      <c r="AW13" s="25">
        <f>$C13*(Затраты!AV64-Затраты!AV63-Затраты!AV57-Затраты!AV56)</f>
        <v>35536.630373571206</v>
      </c>
      <c r="AX13" s="25">
        <f>$C13*(Затраты!AW64-Затраты!AW63-Затраты!AW57-Затраты!AW56)</f>
        <v>35536.630373571206</v>
      </c>
      <c r="AY13" s="25">
        <f>$C13*(Затраты!AX64-Затраты!AX63-Затраты!AX57-Затраты!AX56)</f>
        <v>35536.630373571206</v>
      </c>
      <c r="AZ13" s="25">
        <f>$C13*(Затраты!AY64-Затраты!AY63-Затраты!AY57-Затраты!AY56)</f>
        <v>35536.630373571206</v>
      </c>
      <c r="BA13" s="25">
        <f>$C13*(Затраты!AZ64-Затраты!AZ63-Затраты!AZ57-Затраты!AZ56)</f>
        <v>35536.630373571206</v>
      </c>
      <c r="BB13" s="25">
        <f>$C13*(Затраты!BA64-Затраты!BA63-Затраты!BA57-Затраты!BA56)</f>
        <v>35536.630373571206</v>
      </c>
      <c r="BC13" s="25">
        <f>$C13*(Затраты!BB64-Затраты!BB63-Затраты!BB57-Затраты!BB56)</f>
        <v>35536.630373571206</v>
      </c>
      <c r="BD13" s="25">
        <f>$C13*(Затраты!BC64-Затраты!BC63-Затраты!BC57-Затраты!BC56)</f>
        <v>37311.862781189593</v>
      </c>
      <c r="BE13" s="25">
        <f>$C13*(Затраты!BD64-Затраты!BD63-Затраты!BD57-Затраты!BD56)</f>
        <v>37311.862781189593</v>
      </c>
      <c r="BF13" s="25">
        <f>$C13*(Затраты!BE64-Затраты!BE63-Затраты!BE57-Затраты!BE56)</f>
        <v>37311.862781189593</v>
      </c>
      <c r="BG13" s="25">
        <f>$C13*(Затраты!BF64-Затраты!BF63-Затраты!BF57-Затраты!BF56)</f>
        <v>37311.862781189593</v>
      </c>
      <c r="BH13" s="25">
        <f>$C13*(Затраты!BG64-Затраты!BG63-Затраты!BG57-Затраты!BG56)</f>
        <v>37311.862781189593</v>
      </c>
      <c r="BI13" s="25">
        <f>$C13*(Затраты!BH64-Затраты!BH63-Затраты!BH57-Затраты!BH56)</f>
        <v>37311.862781189593</v>
      </c>
      <c r="BJ13" s="25">
        <f>$C13*(Затраты!BI64-Затраты!BI63-Затраты!BI57-Затраты!BI56)</f>
        <v>37311.862781189593</v>
      </c>
      <c r="BK13" s="25">
        <f>$C13*(Затраты!BJ64-Затраты!BJ63-Затраты!BJ57-Затраты!BJ56)</f>
        <v>394.35501790831478</v>
      </c>
      <c r="BM13" s="25">
        <f t="shared" si="20"/>
        <v>17700.686385694451</v>
      </c>
      <c r="BN13" s="25">
        <f t="shared" si="20"/>
        <v>350200.91752993333</v>
      </c>
      <c r="BO13" s="25">
        <f t="shared" si="20"/>
        <v>386827.60565298144</v>
      </c>
      <c r="BP13" s="25">
        <f t="shared" si="20"/>
        <v>406150.73880962073</v>
      </c>
      <c r="BQ13" s="25">
        <f t="shared" si="20"/>
        <v>426439.56448285439</v>
      </c>
      <c r="BR13" s="25">
        <f t="shared" si="20"/>
        <v>261577.39448623545</v>
      </c>
    </row>
    <row r="14" spans="1:122">
      <c r="A14" s="18" t="s">
        <v>11</v>
      </c>
      <c r="B14" s="19" t="s">
        <v>256</v>
      </c>
      <c r="C14" s="22"/>
      <c r="D14" s="24">
        <f>SUM(D12:D13)</f>
        <v>21623.491413333337</v>
      </c>
      <c r="E14" s="24">
        <f t="shared" ref="E14:G14" si="21">SUM(E12:E13)</f>
        <v>4078.0450799999999</v>
      </c>
      <c r="F14" s="24">
        <f t="shared" si="21"/>
        <v>8507.1552466666672</v>
      </c>
      <c r="G14" s="24">
        <f t="shared" si="21"/>
        <v>11885.892979027783</v>
      </c>
      <c r="H14" s="24">
        <f t="shared" ref="H14:BJ14" si="22">SUM(H12:H13)</f>
        <v>18553.166044161113</v>
      </c>
      <c r="I14" s="24">
        <f t="shared" si="22"/>
        <v>24627.591044161112</v>
      </c>
      <c r="J14" s="24">
        <f t="shared" si="22"/>
        <v>30702.016044161122</v>
      </c>
      <c r="K14" s="24">
        <f t="shared" si="22"/>
        <v>30702.016044161122</v>
      </c>
      <c r="L14" s="24">
        <f t="shared" si="22"/>
        <v>30702.016044161122</v>
      </c>
      <c r="M14" s="24">
        <f t="shared" si="22"/>
        <v>30702.016044161122</v>
      </c>
      <c r="N14" s="24">
        <f t="shared" si="22"/>
        <v>30702.016044161122</v>
      </c>
      <c r="O14" s="24">
        <f t="shared" si="22"/>
        <v>30702.016044161122</v>
      </c>
      <c r="P14" s="24">
        <f t="shared" si="22"/>
        <v>30702.016044161122</v>
      </c>
      <c r="Q14" s="24">
        <f t="shared" si="22"/>
        <v>30702.016044161122</v>
      </c>
      <c r="R14" s="24">
        <f t="shared" si="22"/>
        <v>30702.016044161122</v>
      </c>
      <c r="S14" s="24">
        <f t="shared" si="22"/>
        <v>30702.016044161122</v>
      </c>
      <c r="T14" s="24">
        <f t="shared" si="22"/>
        <v>32235.63380441512</v>
      </c>
      <c r="U14" s="24">
        <f t="shared" si="22"/>
        <v>32235.63380441512</v>
      </c>
      <c r="V14" s="24">
        <f t="shared" si="22"/>
        <v>32235.63380441512</v>
      </c>
      <c r="W14" s="24">
        <f t="shared" si="22"/>
        <v>32235.63380441512</v>
      </c>
      <c r="X14" s="24">
        <f t="shared" si="22"/>
        <v>32235.63380441512</v>
      </c>
      <c r="Y14" s="24">
        <f t="shared" si="22"/>
        <v>32235.63380441512</v>
      </c>
      <c r="Z14" s="24">
        <f t="shared" si="22"/>
        <v>32235.63380441512</v>
      </c>
      <c r="AA14" s="24">
        <f t="shared" si="22"/>
        <v>32235.63380441512</v>
      </c>
      <c r="AB14" s="24">
        <f t="shared" si="22"/>
        <v>32235.63380441512</v>
      </c>
      <c r="AC14" s="24">
        <f t="shared" si="22"/>
        <v>32235.63380441512</v>
      </c>
      <c r="AD14" s="24">
        <f t="shared" si="22"/>
        <v>32235.63380441512</v>
      </c>
      <c r="AE14" s="24">
        <f t="shared" si="22"/>
        <v>32235.63380441512</v>
      </c>
      <c r="AF14" s="24">
        <f t="shared" si="22"/>
        <v>33845.894900801737</v>
      </c>
      <c r="AG14" s="24">
        <f t="shared" si="22"/>
        <v>33845.894900801737</v>
      </c>
      <c r="AH14" s="24">
        <f t="shared" si="22"/>
        <v>33845.894900801737</v>
      </c>
      <c r="AI14" s="24">
        <f t="shared" si="22"/>
        <v>33845.894900801737</v>
      </c>
      <c r="AJ14" s="24">
        <f t="shared" si="22"/>
        <v>33845.894900801737</v>
      </c>
      <c r="AK14" s="24">
        <f t="shared" si="22"/>
        <v>33845.894900801737</v>
      </c>
      <c r="AL14" s="24">
        <f t="shared" si="22"/>
        <v>33845.894900801737</v>
      </c>
      <c r="AM14" s="24">
        <f t="shared" si="22"/>
        <v>33845.894900801737</v>
      </c>
      <c r="AN14" s="24">
        <f t="shared" si="22"/>
        <v>33845.894900801737</v>
      </c>
      <c r="AO14" s="24">
        <f t="shared" si="22"/>
        <v>33845.894900801737</v>
      </c>
      <c r="AP14" s="24">
        <f t="shared" si="22"/>
        <v>33845.894900801737</v>
      </c>
      <c r="AQ14" s="24">
        <f t="shared" si="22"/>
        <v>33845.894900801737</v>
      </c>
      <c r="AR14" s="24">
        <f t="shared" si="22"/>
        <v>35536.630373571206</v>
      </c>
      <c r="AS14" s="24">
        <f t="shared" si="22"/>
        <v>35536.630373571206</v>
      </c>
      <c r="AT14" s="24">
        <f t="shared" si="22"/>
        <v>35536.630373571206</v>
      </c>
      <c r="AU14" s="24">
        <f t="shared" si="22"/>
        <v>35536.630373571206</v>
      </c>
      <c r="AV14" s="24">
        <f t="shared" si="22"/>
        <v>35536.630373571206</v>
      </c>
      <c r="AW14" s="24">
        <f t="shared" si="22"/>
        <v>35536.630373571206</v>
      </c>
      <c r="AX14" s="24">
        <f t="shared" si="22"/>
        <v>35536.630373571206</v>
      </c>
      <c r="AY14" s="24">
        <f t="shared" si="22"/>
        <v>35536.630373571206</v>
      </c>
      <c r="AZ14" s="24">
        <f t="shared" si="22"/>
        <v>35536.630373571206</v>
      </c>
      <c r="BA14" s="24">
        <f t="shared" si="22"/>
        <v>35536.630373571206</v>
      </c>
      <c r="BB14" s="24">
        <f t="shared" si="22"/>
        <v>35536.630373571206</v>
      </c>
      <c r="BC14" s="24">
        <f t="shared" si="22"/>
        <v>35536.630373571206</v>
      </c>
      <c r="BD14" s="24">
        <f t="shared" si="22"/>
        <v>37311.862781189593</v>
      </c>
      <c r="BE14" s="24">
        <f t="shared" si="22"/>
        <v>37311.862781189593</v>
      </c>
      <c r="BF14" s="24">
        <f t="shared" si="22"/>
        <v>37311.862781189593</v>
      </c>
      <c r="BG14" s="24">
        <f t="shared" si="22"/>
        <v>37311.862781189593</v>
      </c>
      <c r="BH14" s="24">
        <f t="shared" si="22"/>
        <v>37311.862781189593</v>
      </c>
      <c r="BI14" s="24">
        <f t="shared" si="22"/>
        <v>37311.862781189593</v>
      </c>
      <c r="BJ14" s="24">
        <f t="shared" si="22"/>
        <v>37311.862781189593</v>
      </c>
      <c r="BK14" s="24">
        <f t="shared" ref="BK14" si="23">SUM(BK12:BK13)</f>
        <v>394.35501790831478</v>
      </c>
      <c r="BM14" s="24">
        <f t="shared" si="20"/>
        <v>46094.584719027785</v>
      </c>
      <c r="BN14" s="24">
        <f t="shared" si="20"/>
        <v>350200.91752993333</v>
      </c>
      <c r="BO14" s="24">
        <f t="shared" si="20"/>
        <v>386827.60565298144</v>
      </c>
      <c r="BP14" s="24">
        <f t="shared" si="20"/>
        <v>406150.73880962073</v>
      </c>
      <c r="BQ14" s="24">
        <f t="shared" si="20"/>
        <v>426439.56448285439</v>
      </c>
      <c r="BR14" s="24">
        <f t="shared" si="20"/>
        <v>261577.39448623545</v>
      </c>
    </row>
    <row r="16" spans="1:122">
      <c r="A16" s="18" t="s">
        <v>100</v>
      </c>
      <c r="B16" s="19" t="s">
        <v>1</v>
      </c>
      <c r="C16" s="21"/>
    </row>
    <row r="17" spans="1:70">
      <c r="A17" s="27" t="s">
        <v>101</v>
      </c>
      <c r="B17" s="28" t="s">
        <v>256</v>
      </c>
      <c r="C17" s="31"/>
      <c r="D17" s="25">
        <f>C20</f>
        <v>0</v>
      </c>
      <c r="E17" s="25">
        <f t="shared" ref="E17:BK17" si="24">D20</f>
        <v>21623.491413333337</v>
      </c>
      <c r="F17" s="25">
        <f t="shared" si="24"/>
        <v>25701.536493333337</v>
      </c>
      <c r="G17" s="25">
        <f t="shared" si="24"/>
        <v>34208.691740000002</v>
      </c>
      <c r="H17" s="25">
        <f t="shared" si="24"/>
        <v>36421.918052361114</v>
      </c>
      <c r="I17" s="25">
        <f t="shared" si="24"/>
        <v>34662.484096522225</v>
      </c>
      <c r="J17" s="25">
        <f t="shared" si="24"/>
        <v>28821.175140683328</v>
      </c>
      <c r="K17" s="25">
        <f t="shared" si="24"/>
        <v>18897.991184844446</v>
      </c>
      <c r="L17" s="25">
        <f t="shared" si="24"/>
        <v>0</v>
      </c>
      <c r="M17" s="25">
        <f t="shared" si="24"/>
        <v>0</v>
      </c>
      <c r="N17" s="25">
        <f t="shared" si="24"/>
        <v>0</v>
      </c>
      <c r="O17" s="25">
        <f t="shared" si="24"/>
        <v>0</v>
      </c>
      <c r="P17" s="25">
        <f t="shared" si="24"/>
        <v>0</v>
      </c>
      <c r="Q17" s="25">
        <f t="shared" si="24"/>
        <v>0</v>
      </c>
      <c r="R17" s="25">
        <f t="shared" si="24"/>
        <v>0</v>
      </c>
      <c r="S17" s="25">
        <f t="shared" si="24"/>
        <v>0</v>
      </c>
      <c r="T17" s="25">
        <f t="shared" si="24"/>
        <v>0</v>
      </c>
      <c r="U17" s="25">
        <f t="shared" si="24"/>
        <v>0</v>
      </c>
      <c r="V17" s="25">
        <f t="shared" si="24"/>
        <v>0</v>
      </c>
      <c r="W17" s="25">
        <f t="shared" si="24"/>
        <v>0</v>
      </c>
      <c r="X17" s="25">
        <f t="shared" si="24"/>
        <v>0</v>
      </c>
      <c r="Y17" s="25">
        <f t="shared" si="24"/>
        <v>0</v>
      </c>
      <c r="Z17" s="25">
        <f t="shared" si="24"/>
        <v>0</v>
      </c>
      <c r="AA17" s="25">
        <f t="shared" si="24"/>
        <v>0</v>
      </c>
      <c r="AB17" s="25">
        <f t="shared" si="24"/>
        <v>0</v>
      </c>
      <c r="AC17" s="25">
        <f t="shared" si="24"/>
        <v>0</v>
      </c>
      <c r="AD17" s="25">
        <f t="shared" si="24"/>
        <v>0</v>
      </c>
      <c r="AE17" s="25">
        <f t="shared" si="24"/>
        <v>0</v>
      </c>
      <c r="AF17" s="25">
        <f t="shared" si="24"/>
        <v>0</v>
      </c>
      <c r="AG17" s="25">
        <f t="shared" si="24"/>
        <v>0</v>
      </c>
      <c r="AH17" s="25">
        <f t="shared" si="24"/>
        <v>0</v>
      </c>
      <c r="AI17" s="25">
        <f t="shared" si="24"/>
        <v>0</v>
      </c>
      <c r="AJ17" s="25">
        <f t="shared" si="24"/>
        <v>0</v>
      </c>
      <c r="AK17" s="25">
        <f t="shared" si="24"/>
        <v>0</v>
      </c>
      <c r="AL17" s="25">
        <f t="shared" si="24"/>
        <v>0</v>
      </c>
      <c r="AM17" s="25">
        <f t="shared" si="24"/>
        <v>0</v>
      </c>
      <c r="AN17" s="25">
        <f t="shared" si="24"/>
        <v>0</v>
      </c>
      <c r="AO17" s="25">
        <f t="shared" si="24"/>
        <v>0</v>
      </c>
      <c r="AP17" s="25">
        <f t="shared" si="24"/>
        <v>0</v>
      </c>
      <c r="AQ17" s="25">
        <f t="shared" si="24"/>
        <v>0</v>
      </c>
      <c r="AR17" s="25">
        <f t="shared" si="24"/>
        <v>0</v>
      </c>
      <c r="AS17" s="25">
        <f t="shared" si="24"/>
        <v>0</v>
      </c>
      <c r="AT17" s="25">
        <f t="shared" si="24"/>
        <v>0</v>
      </c>
      <c r="AU17" s="25">
        <f t="shared" si="24"/>
        <v>0</v>
      </c>
      <c r="AV17" s="25">
        <f t="shared" si="24"/>
        <v>0</v>
      </c>
      <c r="AW17" s="25">
        <f t="shared" si="24"/>
        <v>0</v>
      </c>
      <c r="AX17" s="25">
        <f t="shared" si="24"/>
        <v>0</v>
      </c>
      <c r="AY17" s="25">
        <f t="shared" si="24"/>
        <v>0</v>
      </c>
      <c r="AZ17" s="25">
        <f t="shared" si="24"/>
        <v>0</v>
      </c>
      <c r="BA17" s="25">
        <f t="shared" si="24"/>
        <v>0</v>
      </c>
      <c r="BB17" s="25">
        <f t="shared" si="24"/>
        <v>0</v>
      </c>
      <c r="BC17" s="25">
        <f t="shared" si="24"/>
        <v>0</v>
      </c>
      <c r="BD17" s="25">
        <f t="shared" si="24"/>
        <v>0</v>
      </c>
      <c r="BE17" s="25">
        <f t="shared" si="24"/>
        <v>0</v>
      </c>
      <c r="BF17" s="25">
        <f t="shared" si="24"/>
        <v>0</v>
      </c>
      <c r="BG17" s="25">
        <f t="shared" si="24"/>
        <v>0</v>
      </c>
      <c r="BH17" s="25">
        <f t="shared" si="24"/>
        <v>0</v>
      </c>
      <c r="BI17" s="25">
        <f t="shared" si="24"/>
        <v>0</v>
      </c>
      <c r="BJ17" s="25">
        <f t="shared" si="24"/>
        <v>0</v>
      </c>
      <c r="BK17" s="25">
        <f t="shared" si="24"/>
        <v>0</v>
      </c>
      <c r="BM17" s="25">
        <f t="shared" ref="BM17:BR21" si="25">SUMIF($D$2:$BK$2,BM$2,$D17:$BK17)</f>
        <v>81533.719646666665</v>
      </c>
      <c r="BN17" s="25">
        <f t="shared" si="25"/>
        <v>118803.56847441111</v>
      </c>
      <c r="BO17" s="25">
        <f t="shared" si="25"/>
        <v>0</v>
      </c>
      <c r="BP17" s="25">
        <f t="shared" si="25"/>
        <v>0</v>
      </c>
      <c r="BQ17" s="25">
        <f t="shared" si="25"/>
        <v>0</v>
      </c>
      <c r="BR17" s="25">
        <f t="shared" si="25"/>
        <v>0</v>
      </c>
    </row>
    <row r="18" spans="1:70">
      <c r="A18" s="27" t="s">
        <v>102</v>
      </c>
      <c r="B18" s="28" t="s">
        <v>256</v>
      </c>
      <c r="C18" s="31"/>
      <c r="D18" s="25">
        <f>D14</f>
        <v>21623.491413333337</v>
      </c>
      <c r="E18" s="25">
        <f t="shared" ref="E18:BK18" si="26">E14</f>
        <v>4078.0450799999999</v>
      </c>
      <c r="F18" s="25">
        <f t="shared" si="26"/>
        <v>8507.1552466666672</v>
      </c>
      <c r="G18" s="25">
        <f t="shared" si="26"/>
        <v>11885.892979027783</v>
      </c>
      <c r="H18" s="25">
        <f t="shared" si="26"/>
        <v>18553.166044161113</v>
      </c>
      <c r="I18" s="25">
        <f t="shared" si="26"/>
        <v>24627.591044161112</v>
      </c>
      <c r="J18" s="25">
        <f t="shared" si="26"/>
        <v>30702.016044161122</v>
      </c>
      <c r="K18" s="25">
        <f t="shared" si="26"/>
        <v>30702.016044161122</v>
      </c>
      <c r="L18" s="25">
        <f t="shared" si="26"/>
        <v>30702.016044161122</v>
      </c>
      <c r="M18" s="25">
        <f t="shared" si="26"/>
        <v>30702.016044161122</v>
      </c>
      <c r="N18" s="25">
        <f t="shared" si="26"/>
        <v>30702.016044161122</v>
      </c>
      <c r="O18" s="25">
        <f t="shared" si="26"/>
        <v>30702.016044161122</v>
      </c>
      <c r="P18" s="25">
        <f t="shared" si="26"/>
        <v>30702.016044161122</v>
      </c>
      <c r="Q18" s="25">
        <f t="shared" si="26"/>
        <v>30702.016044161122</v>
      </c>
      <c r="R18" s="25">
        <f t="shared" si="26"/>
        <v>30702.016044161122</v>
      </c>
      <c r="S18" s="25">
        <f t="shared" si="26"/>
        <v>30702.016044161122</v>
      </c>
      <c r="T18" s="25">
        <f t="shared" si="26"/>
        <v>32235.63380441512</v>
      </c>
      <c r="U18" s="25">
        <f t="shared" si="26"/>
        <v>32235.63380441512</v>
      </c>
      <c r="V18" s="25">
        <f t="shared" si="26"/>
        <v>32235.63380441512</v>
      </c>
      <c r="W18" s="25">
        <f t="shared" si="26"/>
        <v>32235.63380441512</v>
      </c>
      <c r="X18" s="25">
        <f t="shared" si="26"/>
        <v>32235.63380441512</v>
      </c>
      <c r="Y18" s="25">
        <f t="shared" si="26"/>
        <v>32235.63380441512</v>
      </c>
      <c r="Z18" s="25">
        <f t="shared" si="26"/>
        <v>32235.63380441512</v>
      </c>
      <c r="AA18" s="25">
        <f t="shared" si="26"/>
        <v>32235.63380441512</v>
      </c>
      <c r="AB18" s="25">
        <f t="shared" si="26"/>
        <v>32235.63380441512</v>
      </c>
      <c r="AC18" s="25">
        <f t="shared" si="26"/>
        <v>32235.63380441512</v>
      </c>
      <c r="AD18" s="25">
        <f t="shared" si="26"/>
        <v>32235.63380441512</v>
      </c>
      <c r="AE18" s="25">
        <f t="shared" si="26"/>
        <v>32235.63380441512</v>
      </c>
      <c r="AF18" s="25">
        <f t="shared" si="26"/>
        <v>33845.894900801737</v>
      </c>
      <c r="AG18" s="25">
        <f t="shared" si="26"/>
        <v>33845.894900801737</v>
      </c>
      <c r="AH18" s="25">
        <f t="shared" si="26"/>
        <v>33845.894900801737</v>
      </c>
      <c r="AI18" s="25">
        <f t="shared" si="26"/>
        <v>33845.894900801737</v>
      </c>
      <c r="AJ18" s="25">
        <f t="shared" si="26"/>
        <v>33845.894900801737</v>
      </c>
      <c r="AK18" s="25">
        <f t="shared" si="26"/>
        <v>33845.894900801737</v>
      </c>
      <c r="AL18" s="25">
        <f t="shared" si="26"/>
        <v>33845.894900801737</v>
      </c>
      <c r="AM18" s="25">
        <f t="shared" si="26"/>
        <v>33845.894900801737</v>
      </c>
      <c r="AN18" s="25">
        <f t="shared" si="26"/>
        <v>33845.894900801737</v>
      </c>
      <c r="AO18" s="25">
        <f t="shared" si="26"/>
        <v>33845.894900801737</v>
      </c>
      <c r="AP18" s="25">
        <f t="shared" si="26"/>
        <v>33845.894900801737</v>
      </c>
      <c r="AQ18" s="25">
        <f t="shared" si="26"/>
        <v>33845.894900801737</v>
      </c>
      <c r="AR18" s="25">
        <f t="shared" si="26"/>
        <v>35536.630373571206</v>
      </c>
      <c r="AS18" s="25">
        <f t="shared" si="26"/>
        <v>35536.630373571206</v>
      </c>
      <c r="AT18" s="25">
        <f t="shared" si="26"/>
        <v>35536.630373571206</v>
      </c>
      <c r="AU18" s="25">
        <f t="shared" si="26"/>
        <v>35536.630373571206</v>
      </c>
      <c r="AV18" s="25">
        <f t="shared" si="26"/>
        <v>35536.630373571206</v>
      </c>
      <c r="AW18" s="25">
        <f t="shared" si="26"/>
        <v>35536.630373571206</v>
      </c>
      <c r="AX18" s="25">
        <f t="shared" si="26"/>
        <v>35536.630373571206</v>
      </c>
      <c r="AY18" s="25">
        <f t="shared" si="26"/>
        <v>35536.630373571206</v>
      </c>
      <c r="AZ18" s="25">
        <f t="shared" si="26"/>
        <v>35536.630373571206</v>
      </c>
      <c r="BA18" s="25">
        <f t="shared" si="26"/>
        <v>35536.630373571206</v>
      </c>
      <c r="BB18" s="25">
        <f t="shared" si="26"/>
        <v>35536.630373571206</v>
      </c>
      <c r="BC18" s="25">
        <f t="shared" si="26"/>
        <v>35536.630373571206</v>
      </c>
      <c r="BD18" s="25">
        <f t="shared" si="26"/>
        <v>37311.862781189593</v>
      </c>
      <c r="BE18" s="25">
        <f t="shared" si="26"/>
        <v>37311.862781189593</v>
      </c>
      <c r="BF18" s="25">
        <f t="shared" si="26"/>
        <v>37311.862781189593</v>
      </c>
      <c r="BG18" s="25">
        <f t="shared" si="26"/>
        <v>37311.862781189593</v>
      </c>
      <c r="BH18" s="25">
        <f t="shared" si="26"/>
        <v>37311.862781189593</v>
      </c>
      <c r="BI18" s="25">
        <f t="shared" si="26"/>
        <v>37311.862781189593</v>
      </c>
      <c r="BJ18" s="25">
        <f t="shared" si="26"/>
        <v>37311.862781189593</v>
      </c>
      <c r="BK18" s="25">
        <f t="shared" si="26"/>
        <v>394.35501790831478</v>
      </c>
      <c r="BM18" s="25">
        <f t="shared" si="25"/>
        <v>46094.584719027785</v>
      </c>
      <c r="BN18" s="25">
        <f t="shared" si="25"/>
        <v>350200.91752993333</v>
      </c>
      <c r="BO18" s="25">
        <f t="shared" si="25"/>
        <v>386827.60565298144</v>
      </c>
      <c r="BP18" s="25">
        <f t="shared" si="25"/>
        <v>406150.73880962073</v>
      </c>
      <c r="BQ18" s="25">
        <f t="shared" si="25"/>
        <v>426439.56448285439</v>
      </c>
      <c r="BR18" s="25">
        <f t="shared" si="25"/>
        <v>261577.39448623545</v>
      </c>
    </row>
    <row r="19" spans="1:70">
      <c r="A19" s="27" t="s">
        <v>103</v>
      </c>
      <c r="B19" s="28" t="s">
        <v>256</v>
      </c>
      <c r="C19" s="31"/>
      <c r="D19" s="25">
        <f>-D9</f>
        <v>0</v>
      </c>
      <c r="E19" s="25">
        <f t="shared" ref="E19:BK19" si="27">-E9</f>
        <v>0</v>
      </c>
      <c r="F19" s="25">
        <f t="shared" si="27"/>
        <v>0</v>
      </c>
      <c r="G19" s="25">
        <f t="shared" si="27"/>
        <v>-9672.6666666666679</v>
      </c>
      <c r="H19" s="25">
        <f t="shared" si="27"/>
        <v>-20312.600000000002</v>
      </c>
      <c r="I19" s="25">
        <f t="shared" si="27"/>
        <v>-30468.900000000009</v>
      </c>
      <c r="J19" s="25">
        <f t="shared" si="27"/>
        <v>-40625.200000000004</v>
      </c>
      <c r="K19" s="25">
        <f t="shared" si="27"/>
        <v>-50781.500000000007</v>
      </c>
      <c r="L19" s="25">
        <f t="shared" si="27"/>
        <v>-50781.500000000007</v>
      </c>
      <c r="M19" s="25">
        <f t="shared" si="27"/>
        <v>-50781.500000000007</v>
      </c>
      <c r="N19" s="25">
        <f t="shared" si="27"/>
        <v>-50781.500000000007</v>
      </c>
      <c r="O19" s="25">
        <f t="shared" si="27"/>
        <v>-50781.500000000007</v>
      </c>
      <c r="P19" s="25">
        <f t="shared" si="27"/>
        <v>-50781.500000000007</v>
      </c>
      <c r="Q19" s="25">
        <f t="shared" si="27"/>
        <v>-50781.500000000007</v>
      </c>
      <c r="R19" s="25">
        <f t="shared" si="27"/>
        <v>-50781.500000000007</v>
      </c>
      <c r="S19" s="25">
        <f t="shared" si="27"/>
        <v>-50781.500000000007</v>
      </c>
      <c r="T19" s="25">
        <f t="shared" si="27"/>
        <v>-53320.575000000012</v>
      </c>
      <c r="U19" s="25">
        <f t="shared" si="27"/>
        <v>-53320.575000000012</v>
      </c>
      <c r="V19" s="25">
        <f t="shared" si="27"/>
        <v>-53320.575000000012</v>
      </c>
      <c r="W19" s="25">
        <f t="shared" si="27"/>
        <v>-53320.575000000012</v>
      </c>
      <c r="X19" s="25">
        <f t="shared" si="27"/>
        <v>-53320.575000000012</v>
      </c>
      <c r="Y19" s="25">
        <f t="shared" si="27"/>
        <v>-53320.575000000012</v>
      </c>
      <c r="Z19" s="25">
        <f t="shared" si="27"/>
        <v>-53320.575000000012</v>
      </c>
      <c r="AA19" s="25">
        <f t="shared" si="27"/>
        <v>-53320.575000000012</v>
      </c>
      <c r="AB19" s="25">
        <f t="shared" si="27"/>
        <v>-53320.575000000012</v>
      </c>
      <c r="AC19" s="25">
        <f t="shared" si="27"/>
        <v>-53320.575000000012</v>
      </c>
      <c r="AD19" s="25">
        <f t="shared" si="27"/>
        <v>-53320.575000000012</v>
      </c>
      <c r="AE19" s="25">
        <f t="shared" si="27"/>
        <v>-53320.575000000012</v>
      </c>
      <c r="AF19" s="25">
        <f t="shared" si="27"/>
        <v>-55986.603750000009</v>
      </c>
      <c r="AG19" s="25">
        <f t="shared" si="27"/>
        <v>-55986.603750000009</v>
      </c>
      <c r="AH19" s="25">
        <f t="shared" si="27"/>
        <v>-55986.603750000009</v>
      </c>
      <c r="AI19" s="25">
        <f t="shared" si="27"/>
        <v>-55986.603750000009</v>
      </c>
      <c r="AJ19" s="25">
        <f t="shared" si="27"/>
        <v>-55986.603750000009</v>
      </c>
      <c r="AK19" s="25">
        <f t="shared" si="27"/>
        <v>-55986.603750000009</v>
      </c>
      <c r="AL19" s="25">
        <f t="shared" si="27"/>
        <v>-55986.603750000009</v>
      </c>
      <c r="AM19" s="25">
        <f t="shared" si="27"/>
        <v>-55986.603750000009</v>
      </c>
      <c r="AN19" s="25">
        <f t="shared" si="27"/>
        <v>-55986.603750000009</v>
      </c>
      <c r="AO19" s="25">
        <f t="shared" si="27"/>
        <v>-55986.603750000009</v>
      </c>
      <c r="AP19" s="25">
        <f t="shared" si="27"/>
        <v>-55986.603750000009</v>
      </c>
      <c r="AQ19" s="25">
        <f t="shared" si="27"/>
        <v>-55986.603750000009</v>
      </c>
      <c r="AR19" s="25">
        <f t="shared" si="27"/>
        <v>-58785.933937500027</v>
      </c>
      <c r="AS19" s="25">
        <f t="shared" si="27"/>
        <v>-58785.933937500027</v>
      </c>
      <c r="AT19" s="25">
        <f t="shared" si="27"/>
        <v>-58785.933937500027</v>
      </c>
      <c r="AU19" s="25">
        <f t="shared" si="27"/>
        <v>-58785.933937500027</v>
      </c>
      <c r="AV19" s="25">
        <f t="shared" si="27"/>
        <v>-58785.933937500027</v>
      </c>
      <c r="AW19" s="25">
        <f t="shared" si="27"/>
        <v>-58785.933937500027</v>
      </c>
      <c r="AX19" s="25">
        <f t="shared" si="27"/>
        <v>-58785.933937500027</v>
      </c>
      <c r="AY19" s="25">
        <f t="shared" si="27"/>
        <v>-58785.933937500027</v>
      </c>
      <c r="AZ19" s="25">
        <f t="shared" si="27"/>
        <v>-58785.933937500027</v>
      </c>
      <c r="BA19" s="25">
        <f t="shared" si="27"/>
        <v>-58785.933937500027</v>
      </c>
      <c r="BB19" s="25">
        <f t="shared" si="27"/>
        <v>-58785.933937500027</v>
      </c>
      <c r="BC19" s="25">
        <f t="shared" si="27"/>
        <v>-58785.933937500027</v>
      </c>
      <c r="BD19" s="25">
        <f t="shared" si="27"/>
        <v>-61725.230634375039</v>
      </c>
      <c r="BE19" s="25">
        <f t="shared" si="27"/>
        <v>-61725.230634375039</v>
      </c>
      <c r="BF19" s="25">
        <f t="shared" si="27"/>
        <v>-61725.230634375039</v>
      </c>
      <c r="BG19" s="25">
        <f t="shared" si="27"/>
        <v>-61725.230634375039</v>
      </c>
      <c r="BH19" s="25">
        <f t="shared" si="27"/>
        <v>-61725.230634375039</v>
      </c>
      <c r="BI19" s="25">
        <f t="shared" si="27"/>
        <v>-61725.230634375039</v>
      </c>
      <c r="BJ19" s="25">
        <f t="shared" si="27"/>
        <v>-61725.230634375039</v>
      </c>
      <c r="BK19" s="25">
        <f t="shared" si="27"/>
        <v>-61725.230634375039</v>
      </c>
      <c r="BM19" s="25">
        <f t="shared" si="25"/>
        <v>-9672.6666666666679</v>
      </c>
      <c r="BN19" s="25">
        <f t="shared" si="25"/>
        <v>-548440.20000000007</v>
      </c>
      <c r="BO19" s="25">
        <f t="shared" si="25"/>
        <v>-639846.90000000014</v>
      </c>
      <c r="BP19" s="25">
        <f t="shared" si="25"/>
        <v>-671839.24500000011</v>
      </c>
      <c r="BQ19" s="25">
        <f t="shared" si="25"/>
        <v>-705431.20725000009</v>
      </c>
      <c r="BR19" s="25">
        <f t="shared" si="25"/>
        <v>-493801.84507500019</v>
      </c>
    </row>
    <row r="20" spans="1:70">
      <c r="A20" s="27" t="s">
        <v>104</v>
      </c>
      <c r="B20" s="28" t="s">
        <v>256</v>
      </c>
      <c r="C20" s="31"/>
      <c r="D20" s="25">
        <f>IF(-D19&gt;(D17+D18),0,SUM(D17:D19))</f>
        <v>21623.491413333337</v>
      </c>
      <c r="E20" s="25">
        <f t="shared" ref="E20:BK20" si="28">IF(-E19&gt;(E17+E18),0,SUM(E17:E19))</f>
        <v>25701.536493333337</v>
      </c>
      <c r="F20" s="25">
        <f t="shared" si="28"/>
        <v>34208.691740000002</v>
      </c>
      <c r="G20" s="25">
        <f t="shared" si="28"/>
        <v>36421.918052361114</v>
      </c>
      <c r="H20" s="25">
        <f t="shared" si="28"/>
        <v>34662.484096522225</v>
      </c>
      <c r="I20" s="25">
        <f t="shared" si="28"/>
        <v>28821.175140683328</v>
      </c>
      <c r="J20" s="25">
        <f t="shared" si="28"/>
        <v>18897.991184844446</v>
      </c>
      <c r="K20" s="25">
        <f t="shared" si="28"/>
        <v>0</v>
      </c>
      <c r="L20" s="25">
        <f t="shared" si="28"/>
        <v>0</v>
      </c>
      <c r="M20" s="25">
        <f t="shared" si="28"/>
        <v>0</v>
      </c>
      <c r="N20" s="25">
        <f t="shared" si="28"/>
        <v>0</v>
      </c>
      <c r="O20" s="25">
        <f t="shared" si="28"/>
        <v>0</v>
      </c>
      <c r="P20" s="25">
        <f t="shared" si="28"/>
        <v>0</v>
      </c>
      <c r="Q20" s="25">
        <f t="shared" si="28"/>
        <v>0</v>
      </c>
      <c r="R20" s="25">
        <f t="shared" si="28"/>
        <v>0</v>
      </c>
      <c r="S20" s="25">
        <f t="shared" si="28"/>
        <v>0</v>
      </c>
      <c r="T20" s="25">
        <f t="shared" si="28"/>
        <v>0</v>
      </c>
      <c r="U20" s="25">
        <f t="shared" si="28"/>
        <v>0</v>
      </c>
      <c r="V20" s="25">
        <f t="shared" si="28"/>
        <v>0</v>
      </c>
      <c r="W20" s="25">
        <f t="shared" si="28"/>
        <v>0</v>
      </c>
      <c r="X20" s="25">
        <f t="shared" si="28"/>
        <v>0</v>
      </c>
      <c r="Y20" s="25">
        <f t="shared" si="28"/>
        <v>0</v>
      </c>
      <c r="Z20" s="25">
        <f t="shared" si="28"/>
        <v>0</v>
      </c>
      <c r="AA20" s="25">
        <f t="shared" si="28"/>
        <v>0</v>
      </c>
      <c r="AB20" s="25">
        <f t="shared" si="28"/>
        <v>0</v>
      </c>
      <c r="AC20" s="25">
        <f t="shared" si="28"/>
        <v>0</v>
      </c>
      <c r="AD20" s="25">
        <f t="shared" si="28"/>
        <v>0</v>
      </c>
      <c r="AE20" s="25">
        <f t="shared" si="28"/>
        <v>0</v>
      </c>
      <c r="AF20" s="25">
        <f t="shared" si="28"/>
        <v>0</v>
      </c>
      <c r="AG20" s="25">
        <f t="shared" si="28"/>
        <v>0</v>
      </c>
      <c r="AH20" s="25">
        <f t="shared" si="28"/>
        <v>0</v>
      </c>
      <c r="AI20" s="25">
        <f t="shared" si="28"/>
        <v>0</v>
      </c>
      <c r="AJ20" s="25">
        <f t="shared" si="28"/>
        <v>0</v>
      </c>
      <c r="AK20" s="25">
        <f t="shared" si="28"/>
        <v>0</v>
      </c>
      <c r="AL20" s="25">
        <f t="shared" si="28"/>
        <v>0</v>
      </c>
      <c r="AM20" s="25">
        <f t="shared" si="28"/>
        <v>0</v>
      </c>
      <c r="AN20" s="25">
        <f t="shared" si="28"/>
        <v>0</v>
      </c>
      <c r="AO20" s="25">
        <f t="shared" si="28"/>
        <v>0</v>
      </c>
      <c r="AP20" s="25">
        <f t="shared" si="28"/>
        <v>0</v>
      </c>
      <c r="AQ20" s="25">
        <f t="shared" si="28"/>
        <v>0</v>
      </c>
      <c r="AR20" s="25">
        <f t="shared" si="28"/>
        <v>0</v>
      </c>
      <c r="AS20" s="25">
        <f t="shared" si="28"/>
        <v>0</v>
      </c>
      <c r="AT20" s="25">
        <f t="shared" si="28"/>
        <v>0</v>
      </c>
      <c r="AU20" s="25">
        <f t="shared" si="28"/>
        <v>0</v>
      </c>
      <c r="AV20" s="25">
        <f t="shared" si="28"/>
        <v>0</v>
      </c>
      <c r="AW20" s="25">
        <f t="shared" si="28"/>
        <v>0</v>
      </c>
      <c r="AX20" s="25">
        <f t="shared" si="28"/>
        <v>0</v>
      </c>
      <c r="AY20" s="25">
        <f t="shared" si="28"/>
        <v>0</v>
      </c>
      <c r="AZ20" s="25">
        <f t="shared" si="28"/>
        <v>0</v>
      </c>
      <c r="BA20" s="25">
        <f t="shared" si="28"/>
        <v>0</v>
      </c>
      <c r="BB20" s="25">
        <f t="shared" si="28"/>
        <v>0</v>
      </c>
      <c r="BC20" s="25">
        <f t="shared" si="28"/>
        <v>0</v>
      </c>
      <c r="BD20" s="25">
        <f t="shared" si="28"/>
        <v>0</v>
      </c>
      <c r="BE20" s="25">
        <f t="shared" si="28"/>
        <v>0</v>
      </c>
      <c r="BF20" s="25">
        <f t="shared" si="28"/>
        <v>0</v>
      </c>
      <c r="BG20" s="25">
        <f t="shared" si="28"/>
        <v>0</v>
      </c>
      <c r="BH20" s="25">
        <f t="shared" si="28"/>
        <v>0</v>
      </c>
      <c r="BI20" s="25">
        <f t="shared" si="28"/>
        <v>0</v>
      </c>
      <c r="BJ20" s="25">
        <f t="shared" si="28"/>
        <v>0</v>
      </c>
      <c r="BK20" s="25">
        <f t="shared" si="28"/>
        <v>0</v>
      </c>
      <c r="BM20" s="25">
        <f t="shared" si="25"/>
        <v>117955.63769902778</v>
      </c>
      <c r="BN20" s="25">
        <f t="shared" si="25"/>
        <v>82381.650422050006</v>
      </c>
      <c r="BO20" s="25">
        <f t="shared" si="25"/>
        <v>0</v>
      </c>
      <c r="BP20" s="25">
        <f t="shared" si="25"/>
        <v>0</v>
      </c>
      <c r="BQ20" s="25">
        <f t="shared" si="25"/>
        <v>0</v>
      </c>
      <c r="BR20" s="25">
        <f t="shared" si="25"/>
        <v>0</v>
      </c>
    </row>
    <row r="21" spans="1:70">
      <c r="A21" s="18" t="s">
        <v>105</v>
      </c>
      <c r="B21" s="19" t="s">
        <v>256</v>
      </c>
      <c r="C21" s="22"/>
      <c r="D21" s="24">
        <f>IF(-D19&gt;(D17+D18),SUM(D17:D19),0)</f>
        <v>0</v>
      </c>
      <c r="E21" s="24">
        <f t="shared" ref="E21:BK21" si="29">IF(-E19&gt;(E17+E18),SUM(E17:E19),0)</f>
        <v>0</v>
      </c>
      <c r="F21" s="24">
        <f t="shared" si="29"/>
        <v>0</v>
      </c>
      <c r="G21" s="24">
        <f t="shared" si="29"/>
        <v>0</v>
      </c>
      <c r="H21" s="24">
        <f t="shared" si="29"/>
        <v>0</v>
      </c>
      <c r="I21" s="24">
        <f t="shared" si="29"/>
        <v>0</v>
      </c>
      <c r="J21" s="24">
        <f t="shared" si="29"/>
        <v>0</v>
      </c>
      <c r="K21" s="24">
        <f t="shared" si="29"/>
        <v>-1181.4927709944386</v>
      </c>
      <c r="L21" s="24">
        <f t="shared" si="29"/>
        <v>-20079.483955838885</v>
      </c>
      <c r="M21" s="24">
        <f t="shared" si="29"/>
        <v>-20079.483955838885</v>
      </c>
      <c r="N21" s="24">
        <f t="shared" si="29"/>
        <v>-20079.483955838885</v>
      </c>
      <c r="O21" s="24">
        <f t="shared" si="29"/>
        <v>-20079.483955838885</v>
      </c>
      <c r="P21" s="24">
        <f t="shared" si="29"/>
        <v>-20079.483955838885</v>
      </c>
      <c r="Q21" s="24">
        <f t="shared" si="29"/>
        <v>-20079.483955838885</v>
      </c>
      <c r="R21" s="24">
        <f t="shared" si="29"/>
        <v>-20079.483955838885</v>
      </c>
      <c r="S21" s="24">
        <f t="shared" si="29"/>
        <v>-20079.483955838885</v>
      </c>
      <c r="T21" s="24">
        <f t="shared" si="29"/>
        <v>-21084.941195584892</v>
      </c>
      <c r="U21" s="24">
        <f t="shared" si="29"/>
        <v>-21084.941195584892</v>
      </c>
      <c r="V21" s="24">
        <f t="shared" si="29"/>
        <v>-21084.941195584892</v>
      </c>
      <c r="W21" s="24">
        <f t="shared" si="29"/>
        <v>-21084.941195584892</v>
      </c>
      <c r="X21" s="24">
        <f t="shared" si="29"/>
        <v>-21084.941195584892</v>
      </c>
      <c r="Y21" s="24">
        <f t="shared" si="29"/>
        <v>-21084.941195584892</v>
      </c>
      <c r="Z21" s="24">
        <f t="shared" si="29"/>
        <v>-21084.941195584892</v>
      </c>
      <c r="AA21" s="24">
        <f t="shared" si="29"/>
        <v>-21084.941195584892</v>
      </c>
      <c r="AB21" s="24">
        <f t="shared" si="29"/>
        <v>-21084.941195584892</v>
      </c>
      <c r="AC21" s="24">
        <f t="shared" si="29"/>
        <v>-21084.941195584892</v>
      </c>
      <c r="AD21" s="24">
        <f t="shared" si="29"/>
        <v>-21084.941195584892</v>
      </c>
      <c r="AE21" s="24">
        <f t="shared" si="29"/>
        <v>-21084.941195584892</v>
      </c>
      <c r="AF21" s="24">
        <f t="shared" si="29"/>
        <v>-22140.708849198272</v>
      </c>
      <c r="AG21" s="24">
        <f t="shared" si="29"/>
        <v>-22140.708849198272</v>
      </c>
      <c r="AH21" s="24">
        <f t="shared" si="29"/>
        <v>-22140.708849198272</v>
      </c>
      <c r="AI21" s="24">
        <f t="shared" si="29"/>
        <v>-22140.708849198272</v>
      </c>
      <c r="AJ21" s="24">
        <f t="shared" si="29"/>
        <v>-22140.708849198272</v>
      </c>
      <c r="AK21" s="24">
        <f t="shared" si="29"/>
        <v>-22140.708849198272</v>
      </c>
      <c r="AL21" s="24">
        <f t="shared" si="29"/>
        <v>-22140.708849198272</v>
      </c>
      <c r="AM21" s="24">
        <f t="shared" si="29"/>
        <v>-22140.708849198272</v>
      </c>
      <c r="AN21" s="24">
        <f t="shared" si="29"/>
        <v>-22140.708849198272</v>
      </c>
      <c r="AO21" s="24">
        <f t="shared" si="29"/>
        <v>-22140.708849198272</v>
      </c>
      <c r="AP21" s="24">
        <f t="shared" si="29"/>
        <v>-22140.708849198272</v>
      </c>
      <c r="AQ21" s="24">
        <f t="shared" si="29"/>
        <v>-22140.708849198272</v>
      </c>
      <c r="AR21" s="24">
        <f t="shared" si="29"/>
        <v>-23249.303563928821</v>
      </c>
      <c r="AS21" s="24">
        <f t="shared" si="29"/>
        <v>-23249.303563928821</v>
      </c>
      <c r="AT21" s="24">
        <f t="shared" si="29"/>
        <v>-23249.303563928821</v>
      </c>
      <c r="AU21" s="24">
        <f t="shared" si="29"/>
        <v>-23249.303563928821</v>
      </c>
      <c r="AV21" s="24">
        <f t="shared" si="29"/>
        <v>-23249.303563928821</v>
      </c>
      <c r="AW21" s="24">
        <f t="shared" si="29"/>
        <v>-23249.303563928821</v>
      </c>
      <c r="AX21" s="24">
        <f t="shared" si="29"/>
        <v>-23249.303563928821</v>
      </c>
      <c r="AY21" s="24">
        <f t="shared" si="29"/>
        <v>-23249.303563928821</v>
      </c>
      <c r="AZ21" s="24">
        <f t="shared" si="29"/>
        <v>-23249.303563928821</v>
      </c>
      <c r="BA21" s="24">
        <f t="shared" si="29"/>
        <v>-23249.303563928821</v>
      </c>
      <c r="BB21" s="24">
        <f t="shared" si="29"/>
        <v>-23249.303563928821</v>
      </c>
      <c r="BC21" s="24">
        <f t="shared" si="29"/>
        <v>-23249.303563928821</v>
      </c>
      <c r="BD21" s="24">
        <f t="shared" si="29"/>
        <v>-24413.367853185446</v>
      </c>
      <c r="BE21" s="24">
        <f t="shared" si="29"/>
        <v>-24413.367853185446</v>
      </c>
      <c r="BF21" s="24">
        <f t="shared" si="29"/>
        <v>-24413.367853185446</v>
      </c>
      <c r="BG21" s="24">
        <f t="shared" si="29"/>
        <v>-24413.367853185446</v>
      </c>
      <c r="BH21" s="24">
        <f t="shared" si="29"/>
        <v>-24413.367853185446</v>
      </c>
      <c r="BI21" s="24">
        <f t="shared" si="29"/>
        <v>-24413.367853185446</v>
      </c>
      <c r="BJ21" s="24">
        <f t="shared" si="29"/>
        <v>-24413.367853185446</v>
      </c>
      <c r="BK21" s="24">
        <f t="shared" si="29"/>
        <v>-61330.875616466721</v>
      </c>
      <c r="BM21" s="24">
        <f t="shared" si="25"/>
        <v>0</v>
      </c>
      <c r="BN21" s="24">
        <f t="shared" si="25"/>
        <v>-161817.36441770554</v>
      </c>
      <c r="BO21" s="24">
        <f t="shared" si="25"/>
        <v>-253019.2943470187</v>
      </c>
      <c r="BP21" s="24">
        <f t="shared" si="25"/>
        <v>-265688.50619037927</v>
      </c>
      <c r="BQ21" s="24">
        <f t="shared" si="25"/>
        <v>-278991.64276714582</v>
      </c>
      <c r="BR21" s="24">
        <f t="shared" si="25"/>
        <v>-232224.45058876486</v>
      </c>
    </row>
    <row r="22" spans="1:70">
      <c r="B22" s="2"/>
    </row>
    <row r="23" spans="1:70">
      <c r="A23" s="18" t="s">
        <v>107</v>
      </c>
      <c r="B23" s="19" t="s">
        <v>1</v>
      </c>
      <c r="C23" s="21"/>
    </row>
    <row r="24" spans="1:70">
      <c r="A24" s="27" t="s">
        <v>108</v>
      </c>
      <c r="B24" s="28" t="s">
        <v>3</v>
      </c>
      <c r="C24" s="31"/>
      <c r="D24" s="26">
        <f>Допущения!$C$69</f>
        <v>0.25</v>
      </c>
      <c r="E24" s="26">
        <f>Допущения!$C$69</f>
        <v>0.25</v>
      </c>
      <c r="F24" s="26">
        <f>Допущения!$C$69</f>
        <v>0.25</v>
      </c>
      <c r="G24" s="26">
        <f>Допущения!$C$69</f>
        <v>0.25</v>
      </c>
      <c r="H24" s="26">
        <f>Допущения!$C$69</f>
        <v>0.25</v>
      </c>
      <c r="I24" s="26">
        <f>Допущения!$C$69</f>
        <v>0.25</v>
      </c>
      <c r="J24" s="26">
        <f>Допущения!$C$69</f>
        <v>0.25</v>
      </c>
      <c r="K24" s="26">
        <f>Допущения!$C$69</f>
        <v>0.25</v>
      </c>
      <c r="L24" s="26">
        <f>Допущения!$C$69</f>
        <v>0.25</v>
      </c>
      <c r="M24" s="26">
        <f>Допущения!$C$69</f>
        <v>0.25</v>
      </c>
      <c r="N24" s="26">
        <f>Допущения!$C$69</f>
        <v>0.25</v>
      </c>
      <c r="O24" s="26">
        <f>Допущения!$C$69</f>
        <v>0.25</v>
      </c>
      <c r="P24" s="26">
        <f>Допущения!$C$69</f>
        <v>0.25</v>
      </c>
      <c r="Q24" s="26">
        <f>Допущения!$C$69</f>
        <v>0.25</v>
      </c>
      <c r="R24" s="26">
        <f>Допущения!$C$69</f>
        <v>0.25</v>
      </c>
      <c r="S24" s="26">
        <f>Допущения!$C$69</f>
        <v>0.25</v>
      </c>
      <c r="T24" s="26">
        <f>Допущения!$C$69</f>
        <v>0.25</v>
      </c>
      <c r="U24" s="26">
        <f>Допущения!$C$69</f>
        <v>0.25</v>
      </c>
      <c r="V24" s="26">
        <f>Допущения!$C$69</f>
        <v>0.25</v>
      </c>
      <c r="W24" s="26">
        <f>Допущения!$C$69</f>
        <v>0.25</v>
      </c>
      <c r="X24" s="26">
        <f>Допущения!$C$69</f>
        <v>0.25</v>
      </c>
      <c r="Y24" s="26">
        <f>Допущения!$C$69</f>
        <v>0.25</v>
      </c>
      <c r="Z24" s="26">
        <f>Допущения!$C$69</f>
        <v>0.25</v>
      </c>
      <c r="AA24" s="26">
        <f>Допущения!$C$69</f>
        <v>0.25</v>
      </c>
      <c r="AB24" s="26">
        <f>Допущения!$C$69</f>
        <v>0.25</v>
      </c>
      <c r="AC24" s="26">
        <f>Допущения!$C$69</f>
        <v>0.25</v>
      </c>
      <c r="AD24" s="26">
        <f>Допущения!$C$69</f>
        <v>0.25</v>
      </c>
      <c r="AE24" s="26">
        <f>Допущения!$C$69</f>
        <v>0.25</v>
      </c>
      <c r="AF24" s="26">
        <f>Допущения!$C$69</f>
        <v>0.25</v>
      </c>
      <c r="AG24" s="26">
        <f>Допущения!$C$69</f>
        <v>0.25</v>
      </c>
      <c r="AH24" s="26">
        <f>Допущения!$C$69</f>
        <v>0.25</v>
      </c>
      <c r="AI24" s="26">
        <f>Допущения!$C$69</f>
        <v>0.25</v>
      </c>
      <c r="AJ24" s="26">
        <f>Допущения!$C$69</f>
        <v>0.25</v>
      </c>
      <c r="AK24" s="26">
        <f>Допущения!$C$69</f>
        <v>0.25</v>
      </c>
      <c r="AL24" s="26">
        <f>Допущения!$C$69</f>
        <v>0.25</v>
      </c>
      <c r="AM24" s="26">
        <f>Допущения!$C$69</f>
        <v>0.25</v>
      </c>
      <c r="AN24" s="26">
        <f>Допущения!$C$69</f>
        <v>0.25</v>
      </c>
      <c r="AO24" s="26">
        <f>Допущения!$C$69</f>
        <v>0.25</v>
      </c>
      <c r="AP24" s="26">
        <f>Допущения!$C$69</f>
        <v>0.25</v>
      </c>
      <c r="AQ24" s="26">
        <f>Допущения!$C$69</f>
        <v>0.25</v>
      </c>
      <c r="AR24" s="26">
        <f>Допущения!$C$69</f>
        <v>0.25</v>
      </c>
      <c r="AS24" s="26">
        <f>Допущения!$C$69</f>
        <v>0.25</v>
      </c>
      <c r="AT24" s="26">
        <f>Допущения!$C$69</f>
        <v>0.25</v>
      </c>
      <c r="AU24" s="26">
        <f>Допущения!$C$69</f>
        <v>0.25</v>
      </c>
      <c r="AV24" s="26">
        <f>Допущения!$C$69</f>
        <v>0.25</v>
      </c>
      <c r="AW24" s="26">
        <f>Допущения!$C$69</f>
        <v>0.25</v>
      </c>
      <c r="AX24" s="26">
        <f>Допущения!$C$69</f>
        <v>0.25</v>
      </c>
      <c r="AY24" s="26">
        <f>Допущения!$C$69</f>
        <v>0.25</v>
      </c>
      <c r="AZ24" s="26">
        <f>Допущения!$C$69</f>
        <v>0.25</v>
      </c>
      <c r="BA24" s="26">
        <f>Допущения!$C$69</f>
        <v>0.25</v>
      </c>
      <c r="BB24" s="26">
        <f>Допущения!$C$69</f>
        <v>0.25</v>
      </c>
      <c r="BC24" s="26">
        <f>Допущения!$C$69</f>
        <v>0.25</v>
      </c>
      <c r="BD24" s="26">
        <f>Допущения!$C$69</f>
        <v>0.25</v>
      </c>
      <c r="BE24" s="26">
        <f>Допущения!$C$69</f>
        <v>0.25</v>
      </c>
      <c r="BF24" s="26">
        <f>Допущения!$C$69</f>
        <v>0.25</v>
      </c>
      <c r="BG24" s="26">
        <f>Допущения!$C$69</f>
        <v>0.25</v>
      </c>
      <c r="BH24" s="26">
        <f>Допущения!$C$69</f>
        <v>0.25</v>
      </c>
      <c r="BI24" s="26">
        <f>Допущения!$C$69</f>
        <v>0.25</v>
      </c>
      <c r="BJ24" s="26">
        <f>Допущения!$C$69</f>
        <v>0.25</v>
      </c>
      <c r="BK24" s="26">
        <f>Допущения!$C$69</f>
        <v>0.25</v>
      </c>
      <c r="BM24" s="26">
        <f t="shared" ref="BM24:BR24" si="30">IF(ISERR(AVERAGEIF($D$2:$BK$2,BM$2,$D24:$BK24)),0,AVERAGEIF($D$2:$BK$2,BM$2,$D24:$BK24))</f>
        <v>0.25</v>
      </c>
      <c r="BN24" s="26">
        <f t="shared" si="30"/>
        <v>0.25</v>
      </c>
      <c r="BO24" s="26">
        <f t="shared" si="30"/>
        <v>0.25</v>
      </c>
      <c r="BP24" s="26">
        <f t="shared" si="30"/>
        <v>0.25</v>
      </c>
      <c r="BQ24" s="26">
        <f t="shared" si="30"/>
        <v>0.25</v>
      </c>
      <c r="BR24" s="26">
        <f t="shared" si="30"/>
        <v>0.25</v>
      </c>
    </row>
    <row r="25" spans="1:70">
      <c r="A25" s="27" t="s">
        <v>109</v>
      </c>
      <c r="B25" s="28" t="s">
        <v>256</v>
      </c>
      <c r="C25" s="31"/>
      <c r="D25" s="25">
        <f>ОПУ!B17</f>
        <v>-4820.3078999999998</v>
      </c>
      <c r="E25" s="25">
        <f>ОПУ!C17</f>
        <v>-4793.6891811151472</v>
      </c>
      <c r="F25" s="25">
        <f>ОПУ!D17</f>
        <v>-33692.349238920186</v>
      </c>
      <c r="G25" s="25">
        <f>ОПУ!E17</f>
        <v>-25007.902242142456</v>
      </c>
      <c r="H25" s="25">
        <f>ОПУ!F17</f>
        <v>-5420.101411844118</v>
      </c>
      <c r="I25" s="25">
        <f>ОПУ!G17</f>
        <v>15018.180820981317</v>
      </c>
      <c r="J25" s="25">
        <f>ОПУ!H17</f>
        <v>35457.065287823869</v>
      </c>
      <c r="K25" s="25">
        <f>ОПУ!I17</f>
        <v>86268.689535225712</v>
      </c>
      <c r="L25" s="25">
        <f>ОПУ!J17</f>
        <v>86299.44137111507</v>
      </c>
      <c r="M25" s="25">
        <f>ОПУ!K17</f>
        <v>86330.833870252129</v>
      </c>
      <c r="N25" s="25">
        <f>ОПУ!L17</f>
        <v>86362.880379787879</v>
      </c>
      <c r="O25" s="25">
        <f>ОПУ!M17</f>
        <v>86395.594524938948</v>
      </c>
      <c r="P25" s="25">
        <f>ОПУ!N17</f>
        <v>86428.990214780672</v>
      </c>
      <c r="Q25" s="25">
        <f>ОПУ!O17</f>
        <v>86463.081648160762</v>
      </c>
      <c r="R25" s="25">
        <f>ОПУ!P17</f>
        <v>86497.883319736269</v>
      </c>
      <c r="S25" s="25">
        <f>ОПУ!Q17</f>
        <v>86533.410026136276</v>
      </c>
      <c r="T25" s="25">
        <f>ОПУ!R17</f>
        <v>91284.030736982982</v>
      </c>
      <c r="U25" s="25">
        <f>ОПУ!S17</f>
        <v>91321.05314239375</v>
      </c>
      <c r="V25" s="25">
        <f>ОПУ!T17</f>
        <v>91358.84684791723</v>
      </c>
      <c r="W25" s="25">
        <f>ОПУ!U17</f>
        <v>91397.427922305797</v>
      </c>
      <c r="X25" s="25">
        <f>ОПУ!V17</f>
        <v>91436.812769077456</v>
      </c>
      <c r="Y25" s="25">
        <f>ОПУ!W17</f>
        <v>91477.018133490186</v>
      </c>
      <c r="Z25" s="25">
        <f>ОПУ!X17</f>
        <v>91518.061109661518</v>
      </c>
      <c r="AA25" s="25">
        <f>ОПУ!Y17</f>
        <v>91559.959147836416</v>
      </c>
      <c r="AB25" s="25">
        <f>ОПУ!Z17</f>
        <v>91602.730061806622</v>
      </c>
      <c r="AC25" s="25">
        <f>ОПУ!AA17</f>
        <v>91646.39203648454</v>
      </c>
      <c r="AD25" s="25">
        <f>ОПУ!AB17</f>
        <v>91690.963635634922</v>
      </c>
      <c r="AE25" s="25">
        <f>ОПУ!AC17</f>
        <v>91736.463809767607</v>
      </c>
      <c r="AF25" s="25">
        <f>ОПУ!AD17</f>
        <v>96739.429868241568</v>
      </c>
      <c r="AG25" s="25">
        <f>ОПУ!AE17</f>
        <v>96786.845631302567</v>
      </c>
      <c r="AH25" s="25">
        <f>ОПУ!AF17</f>
        <v>96835.249222760685</v>
      </c>
      <c r="AI25" s="25">
        <f>ОПУ!AG17</f>
        <v>96884.661222374169</v>
      </c>
      <c r="AJ25" s="25">
        <f>ОПУ!AH17</f>
        <v>96935.102638646276</v>
      </c>
      <c r="AK25" s="25">
        <f>ОПУ!AI17</f>
        <v>96986.594917757378</v>
      </c>
      <c r="AL25" s="25">
        <f>ОПУ!AJ17</f>
        <v>97039.159952683302</v>
      </c>
      <c r="AM25" s="25">
        <f>ОПУ!AK17</f>
        <v>97092.82009250352</v>
      </c>
      <c r="AN25" s="25">
        <f>ОПУ!AL17</f>
        <v>97147.598151903308</v>
      </c>
      <c r="AO25" s="25">
        <f>ОПУ!AM17</f>
        <v>97203.517420873934</v>
      </c>
      <c r="AP25" s="25">
        <f>ОПУ!AN17</f>
        <v>97260.60167461478</v>
      </c>
      <c r="AQ25" s="25">
        <f>ОПУ!AO17</f>
        <v>97318.875183641896</v>
      </c>
      <c r="AR25" s="25">
        <f>ОПУ!AP17</f>
        <v>102589.34638461922</v>
      </c>
      <c r="AS25" s="25">
        <f>ОПУ!AQ17</f>
        <v>102650.0732488441</v>
      </c>
      <c r="AT25" s="25">
        <f>ОПУ!AR17</f>
        <v>102712.06525607365</v>
      </c>
      <c r="AU25" s="25">
        <f>ОПУ!AS17</f>
        <v>102775.34876345382</v>
      </c>
      <c r="AV25" s="25">
        <f>ОПУ!AT17</f>
        <v>102839.95067723775</v>
      </c>
      <c r="AW25" s="25">
        <f>ОПУ!AU17</f>
        <v>102905.89846422551</v>
      </c>
      <c r="AX25" s="25">
        <f>ОПУ!AV17</f>
        <v>102973.22016344218</v>
      </c>
      <c r="AY25" s="25">
        <f>ОПУ!AW17</f>
        <v>103041.94439805919</v>
      </c>
      <c r="AZ25" s="25">
        <f>ОПУ!AX17</f>
        <v>103112.10038756407</v>
      </c>
      <c r="BA25" s="25">
        <f>ОПУ!AY17</f>
        <v>103183.71796018363</v>
      </c>
      <c r="BB25" s="25">
        <f>ОПУ!AZ17</f>
        <v>103256.82756556608</v>
      </c>
      <c r="BC25" s="25">
        <f>ОПУ!BA17</f>
        <v>103331.46028772736</v>
      </c>
      <c r="BD25" s="25">
        <f>ОПУ!BB17</f>
        <v>108886.0196940153</v>
      </c>
      <c r="BE25" s="25">
        <f>ОПУ!BC17</f>
        <v>108963.79450560783</v>
      </c>
      <c r="BF25" s="25">
        <f>ОПУ!BD17</f>
        <v>109043.18962577521</v>
      </c>
      <c r="BG25" s="25">
        <f>ОПУ!BE17</f>
        <v>109124.23881094607</v>
      </c>
      <c r="BH25" s="25">
        <f>ОПУ!BF17</f>
        <v>109206.97652080799</v>
      </c>
      <c r="BI25" s="25">
        <f>ОПУ!BG17</f>
        <v>109291.43793295871</v>
      </c>
      <c r="BJ25" s="25">
        <f>ОПУ!BH17</f>
        <v>109377.65895786257</v>
      </c>
      <c r="BK25" s="25">
        <f>ОПУ!BI17</f>
        <v>294053.21507052501</v>
      </c>
      <c r="BM25" s="25">
        <f t="shared" ref="BM25:BR26" si="31">SUMIF($D$2:$BK$2,BM$2,$D25:$BK25)</f>
        <v>-68314.248562177789</v>
      </c>
      <c r="BN25" s="25">
        <f t="shared" si="31"/>
        <v>822635.94958709483</v>
      </c>
      <c r="BO25" s="25">
        <f t="shared" si="31"/>
        <v>1098029.759353359</v>
      </c>
      <c r="BP25" s="25">
        <f t="shared" si="31"/>
        <v>1164230.4559773034</v>
      </c>
      <c r="BQ25" s="25">
        <f t="shared" si="31"/>
        <v>1235371.9535569965</v>
      </c>
      <c r="BR25" s="25">
        <f t="shared" si="31"/>
        <v>1057946.5311184986</v>
      </c>
    </row>
    <row r="26" spans="1:70">
      <c r="A26" s="18" t="s">
        <v>105</v>
      </c>
      <c r="B26" s="19" t="s">
        <v>256</v>
      </c>
      <c r="C26" s="22"/>
      <c r="D26" s="24">
        <f>IF(MONTH(D$3)=1,D28,IF((D28-C28)&lt;0,0,(D28-C28)))</f>
        <v>0</v>
      </c>
      <c r="E26" s="24">
        <f t="shared" ref="E26:BK26" si="32">IF(MONTH(E$3)=1,E28,IF((E28-D28)&lt;0,0,(E28-D28)))</f>
        <v>0</v>
      </c>
      <c r="F26" s="24">
        <f t="shared" si="32"/>
        <v>0</v>
      </c>
      <c r="G26" s="24">
        <f t="shared" si="32"/>
        <v>0</v>
      </c>
      <c r="H26" s="24">
        <f t="shared" si="32"/>
        <v>0</v>
      </c>
      <c r="I26" s="24">
        <f t="shared" si="32"/>
        <v>0</v>
      </c>
      <c r="J26" s="24">
        <f t="shared" si="32"/>
        <v>0</v>
      </c>
      <c r="K26" s="24">
        <f t="shared" si="32"/>
        <v>15752.396417502247</v>
      </c>
      <c r="L26" s="24">
        <f t="shared" si="32"/>
        <v>21574.860342778768</v>
      </c>
      <c r="M26" s="24">
        <f t="shared" si="32"/>
        <v>21582.708467563032</v>
      </c>
      <c r="N26" s="24">
        <f t="shared" si="32"/>
        <v>21590.72009494697</v>
      </c>
      <c r="O26" s="24">
        <f t="shared" si="32"/>
        <v>21598.898631234741</v>
      </c>
      <c r="P26" s="24">
        <f t="shared" si="32"/>
        <v>21607.247553695168</v>
      </c>
      <c r="Q26" s="24">
        <f t="shared" si="32"/>
        <v>21615.770412040176</v>
      </c>
      <c r="R26" s="24">
        <f t="shared" si="32"/>
        <v>21624.470829934056</v>
      </c>
      <c r="S26" s="24">
        <f t="shared" si="32"/>
        <v>21633.35250653408</v>
      </c>
      <c r="T26" s="24">
        <f t="shared" si="32"/>
        <v>22821.007684245746</v>
      </c>
      <c r="U26" s="24">
        <f t="shared" si="32"/>
        <v>22830.263285598438</v>
      </c>
      <c r="V26" s="24">
        <f t="shared" si="32"/>
        <v>22839.711711979304</v>
      </c>
      <c r="W26" s="24">
        <f t="shared" si="32"/>
        <v>22849.356980576442</v>
      </c>
      <c r="X26" s="24">
        <f t="shared" si="32"/>
        <v>22859.203192269371</v>
      </c>
      <c r="Y26" s="24">
        <f t="shared" si="32"/>
        <v>22869.254533372557</v>
      </c>
      <c r="Z26" s="24">
        <f t="shared" si="32"/>
        <v>22879.515277415368</v>
      </c>
      <c r="AA26" s="24">
        <f t="shared" si="32"/>
        <v>22889.989786959108</v>
      </c>
      <c r="AB26" s="24">
        <f t="shared" si="32"/>
        <v>22900.682515451655</v>
      </c>
      <c r="AC26" s="24">
        <f t="shared" si="32"/>
        <v>22911.598009121139</v>
      </c>
      <c r="AD26" s="24">
        <f t="shared" si="32"/>
        <v>22922.740908908745</v>
      </c>
      <c r="AE26" s="24">
        <f t="shared" si="32"/>
        <v>22934.115952441876</v>
      </c>
      <c r="AF26" s="24">
        <f t="shared" si="32"/>
        <v>24184.857467060392</v>
      </c>
      <c r="AG26" s="24">
        <f t="shared" si="32"/>
        <v>24196.711407825642</v>
      </c>
      <c r="AH26" s="24">
        <f t="shared" si="32"/>
        <v>24208.812305690175</v>
      </c>
      <c r="AI26" s="24">
        <f t="shared" si="32"/>
        <v>24221.165305593546</v>
      </c>
      <c r="AJ26" s="24">
        <f t="shared" si="32"/>
        <v>24233.775659661565</v>
      </c>
      <c r="AK26" s="24">
        <f t="shared" si="32"/>
        <v>24246.648729439345</v>
      </c>
      <c r="AL26" s="24">
        <f t="shared" si="32"/>
        <v>24259.789988170814</v>
      </c>
      <c r="AM26" s="24">
        <f t="shared" si="32"/>
        <v>24273.205023125891</v>
      </c>
      <c r="AN26" s="24">
        <f t="shared" si="32"/>
        <v>24286.899537975842</v>
      </c>
      <c r="AO26" s="24">
        <f t="shared" si="32"/>
        <v>24300.879355218494</v>
      </c>
      <c r="AP26" s="24">
        <f t="shared" si="32"/>
        <v>24315.150418653677</v>
      </c>
      <c r="AQ26" s="24">
        <f t="shared" si="32"/>
        <v>24329.718795910478</v>
      </c>
      <c r="AR26" s="24">
        <f t="shared" si="32"/>
        <v>25647.336596154804</v>
      </c>
      <c r="AS26" s="24">
        <f t="shared" si="32"/>
        <v>25662.518312211025</v>
      </c>
      <c r="AT26" s="24">
        <f t="shared" si="32"/>
        <v>25678.016314018416</v>
      </c>
      <c r="AU26" s="24">
        <f t="shared" si="32"/>
        <v>25693.837190863458</v>
      </c>
      <c r="AV26" s="24">
        <f t="shared" si="32"/>
        <v>25709.987669309441</v>
      </c>
      <c r="AW26" s="24">
        <f t="shared" si="32"/>
        <v>25726.474616056366</v>
      </c>
      <c r="AX26" s="24">
        <f t="shared" si="32"/>
        <v>25743.305040860549</v>
      </c>
      <c r="AY26" s="24">
        <f t="shared" si="32"/>
        <v>25760.48609951479</v>
      </c>
      <c r="AZ26" s="24">
        <f t="shared" si="32"/>
        <v>25778.025096891011</v>
      </c>
      <c r="BA26" s="24">
        <f t="shared" si="32"/>
        <v>25795.929490045906</v>
      </c>
      <c r="BB26" s="24">
        <f t="shared" si="32"/>
        <v>25814.206891391514</v>
      </c>
      <c r="BC26" s="24">
        <f t="shared" si="32"/>
        <v>25832.865071931854</v>
      </c>
      <c r="BD26" s="24">
        <f t="shared" si="32"/>
        <v>27221.504923503824</v>
      </c>
      <c r="BE26" s="24">
        <f t="shared" si="32"/>
        <v>27240.948626401958</v>
      </c>
      <c r="BF26" s="24">
        <f t="shared" si="32"/>
        <v>27260.797406443802</v>
      </c>
      <c r="BG26" s="24">
        <f t="shared" si="32"/>
        <v>27281.059702736515</v>
      </c>
      <c r="BH26" s="24">
        <f t="shared" si="32"/>
        <v>27301.744130201987</v>
      </c>
      <c r="BI26" s="24">
        <f t="shared" si="32"/>
        <v>27322.859483239678</v>
      </c>
      <c r="BJ26" s="24">
        <f t="shared" si="32"/>
        <v>27344.414739465632</v>
      </c>
      <c r="BK26" s="24">
        <f t="shared" si="32"/>
        <v>73513.303767631267</v>
      </c>
      <c r="BM26" s="24">
        <f t="shared" si="31"/>
        <v>0</v>
      </c>
      <c r="BN26" s="24">
        <f t="shared" si="31"/>
        <v>188580.42525622924</v>
      </c>
      <c r="BO26" s="24">
        <f t="shared" si="31"/>
        <v>274507.43983833975</v>
      </c>
      <c r="BP26" s="24">
        <f t="shared" si="31"/>
        <v>291057.61399432586</v>
      </c>
      <c r="BQ26" s="24">
        <f t="shared" si="31"/>
        <v>308842.98838924913</v>
      </c>
      <c r="BR26" s="24">
        <f t="shared" si="31"/>
        <v>264486.63277962466</v>
      </c>
    </row>
    <row r="28" spans="1:70">
      <c r="A28" s="30" t="s">
        <v>110</v>
      </c>
      <c r="B28" s="28" t="s">
        <v>256</v>
      </c>
      <c r="C28" s="31"/>
      <c r="D28" s="25">
        <f>D24*IF(D30&lt;0,0,D30)</f>
        <v>0</v>
      </c>
      <c r="E28" s="25">
        <f>E24*IF(E30&lt;0,0,E30)</f>
        <v>0</v>
      </c>
      <c r="F28" s="25">
        <f>F24*IF(F30&lt;0,0,F30)</f>
        <v>0</v>
      </c>
      <c r="G28" s="25">
        <f t="shared" ref="G28" si="33">G24*IF(G30&lt;0,0,G30)</f>
        <v>0</v>
      </c>
      <c r="H28" s="25">
        <f t="shared" ref="H28:BJ28" si="34">H24*IF(H30&lt;0,0,H30)</f>
        <v>0</v>
      </c>
      <c r="I28" s="25">
        <f t="shared" si="34"/>
        <v>0</v>
      </c>
      <c r="J28" s="25">
        <f t="shared" si="34"/>
        <v>0</v>
      </c>
      <c r="K28" s="25">
        <f t="shared" si="34"/>
        <v>15752.396417502247</v>
      </c>
      <c r="L28" s="25">
        <f t="shared" si="34"/>
        <v>37327.256760281016</v>
      </c>
      <c r="M28" s="25">
        <f t="shared" si="34"/>
        <v>58909.965227844048</v>
      </c>
      <c r="N28" s="25">
        <f t="shared" si="34"/>
        <v>80500.685322791018</v>
      </c>
      <c r="O28" s="25">
        <f t="shared" si="34"/>
        <v>102099.58395402576</v>
      </c>
      <c r="P28" s="25">
        <f t="shared" si="34"/>
        <v>123706.83150772093</v>
      </c>
      <c r="Q28" s="25">
        <f t="shared" si="34"/>
        <v>145322.6019197611</v>
      </c>
      <c r="R28" s="25">
        <f t="shared" si="34"/>
        <v>166947.07274969516</v>
      </c>
      <c r="S28" s="25">
        <f t="shared" si="34"/>
        <v>188580.42525622924</v>
      </c>
      <c r="T28" s="25">
        <f t="shared" si="34"/>
        <v>22821.007684245746</v>
      </c>
      <c r="U28" s="25">
        <f t="shared" si="34"/>
        <v>45651.270969844183</v>
      </c>
      <c r="V28" s="25">
        <f t="shared" si="34"/>
        <v>68490.982681823487</v>
      </c>
      <c r="W28" s="25">
        <f t="shared" si="34"/>
        <v>91340.339662399929</v>
      </c>
      <c r="X28" s="25">
        <f t="shared" si="34"/>
        <v>114199.5428546693</v>
      </c>
      <c r="Y28" s="25">
        <f t="shared" si="34"/>
        <v>137068.79738804186</v>
      </c>
      <c r="Z28" s="25">
        <f t="shared" si="34"/>
        <v>159948.31266545723</v>
      </c>
      <c r="AA28" s="25">
        <f t="shared" si="34"/>
        <v>182838.30245241633</v>
      </c>
      <c r="AB28" s="25">
        <f t="shared" si="34"/>
        <v>205738.98496786799</v>
      </c>
      <c r="AC28" s="25">
        <f t="shared" si="34"/>
        <v>228650.58297698913</v>
      </c>
      <c r="AD28" s="25">
        <f t="shared" si="34"/>
        <v>251573.32388589787</v>
      </c>
      <c r="AE28" s="25">
        <f t="shared" si="34"/>
        <v>274507.43983833975</v>
      </c>
      <c r="AF28" s="25">
        <f t="shared" si="34"/>
        <v>24184.857467060392</v>
      </c>
      <c r="AG28" s="25">
        <f t="shared" si="34"/>
        <v>48381.568874886034</v>
      </c>
      <c r="AH28" s="25">
        <f t="shared" si="34"/>
        <v>72590.381180576209</v>
      </c>
      <c r="AI28" s="25">
        <f t="shared" si="34"/>
        <v>96811.546486169755</v>
      </c>
      <c r="AJ28" s="25">
        <f t="shared" si="34"/>
        <v>121045.32214583132</v>
      </c>
      <c r="AK28" s="25">
        <f t="shared" si="34"/>
        <v>145291.97087527066</v>
      </c>
      <c r="AL28" s="25">
        <f t="shared" si="34"/>
        <v>169551.76086344148</v>
      </c>
      <c r="AM28" s="25">
        <f t="shared" si="34"/>
        <v>193824.96588656737</v>
      </c>
      <c r="AN28" s="25">
        <f t="shared" si="34"/>
        <v>218111.86542454321</v>
      </c>
      <c r="AO28" s="25">
        <f t="shared" si="34"/>
        <v>242412.74477976171</v>
      </c>
      <c r="AP28" s="25">
        <f t="shared" si="34"/>
        <v>266727.89519841538</v>
      </c>
      <c r="AQ28" s="25">
        <f t="shared" si="34"/>
        <v>291057.61399432586</v>
      </c>
      <c r="AR28" s="25">
        <f t="shared" si="34"/>
        <v>25647.336596154804</v>
      </c>
      <c r="AS28" s="25">
        <f t="shared" si="34"/>
        <v>51309.854908365829</v>
      </c>
      <c r="AT28" s="25">
        <f t="shared" si="34"/>
        <v>76987.871222384245</v>
      </c>
      <c r="AU28" s="25">
        <f t="shared" si="34"/>
        <v>102681.7084132477</v>
      </c>
      <c r="AV28" s="25">
        <f t="shared" si="34"/>
        <v>128391.69608255714</v>
      </c>
      <c r="AW28" s="25">
        <f t="shared" si="34"/>
        <v>154118.17069861351</v>
      </c>
      <c r="AX28" s="25">
        <f t="shared" si="34"/>
        <v>179861.47573947406</v>
      </c>
      <c r="AY28" s="25">
        <f t="shared" si="34"/>
        <v>205621.96183898885</v>
      </c>
      <c r="AZ28" s="25">
        <f t="shared" si="34"/>
        <v>231399.98693587986</v>
      </c>
      <c r="BA28" s="25">
        <f t="shared" si="34"/>
        <v>257195.91642592577</v>
      </c>
      <c r="BB28" s="25">
        <f t="shared" si="34"/>
        <v>283010.12331731728</v>
      </c>
      <c r="BC28" s="25">
        <f t="shared" si="34"/>
        <v>308842.98838924913</v>
      </c>
      <c r="BD28" s="25">
        <f t="shared" si="34"/>
        <v>27221.504923503824</v>
      </c>
      <c r="BE28" s="25">
        <f t="shared" si="34"/>
        <v>54462.453549905782</v>
      </c>
      <c r="BF28" s="25">
        <f t="shared" si="34"/>
        <v>81723.250956349584</v>
      </c>
      <c r="BG28" s="25">
        <f t="shared" si="34"/>
        <v>109004.3106590861</v>
      </c>
      <c r="BH28" s="25">
        <f t="shared" si="34"/>
        <v>136306.05478928809</v>
      </c>
      <c r="BI28" s="25">
        <f t="shared" si="34"/>
        <v>163628.91427252776</v>
      </c>
      <c r="BJ28" s="25">
        <f t="shared" si="34"/>
        <v>190973.3290119934</v>
      </c>
      <c r="BK28" s="25">
        <f t="shared" ref="BK28" si="35">BK24*IF(BK30&lt;0,0,BK30)</f>
        <v>264486.63277962466</v>
      </c>
    </row>
    <row r="29" spans="1:70">
      <c r="A29" s="30" t="s">
        <v>111</v>
      </c>
      <c r="B29" s="28" t="s">
        <v>256</v>
      </c>
      <c r="C29" s="31"/>
      <c r="D29" s="25">
        <f t="shared" ref="D29:G29" si="36">IF(MONTH(D$3)=1,D25,C29+D25)</f>
        <v>-4820.3078999999998</v>
      </c>
      <c r="E29" s="25">
        <f t="shared" si="36"/>
        <v>-9613.997081115147</v>
      </c>
      <c r="F29" s="25">
        <f t="shared" si="36"/>
        <v>-43306.346320035329</v>
      </c>
      <c r="G29" s="25">
        <f t="shared" si="36"/>
        <v>-68314.248562177789</v>
      </c>
      <c r="H29" s="25">
        <f t="shared" ref="H29" si="37">IF(MONTH(H$3)=1,H25,G29+H25)</f>
        <v>-5420.101411844118</v>
      </c>
      <c r="I29" s="25">
        <f t="shared" ref="I29" si="38">IF(MONTH(I$3)=1,I25,H29+I25)</f>
        <v>9598.079409137199</v>
      </c>
      <c r="J29" s="25">
        <f t="shared" ref="J29" si="39">IF(MONTH(J$3)=1,J25,I29+J25)</f>
        <v>45055.14469696107</v>
      </c>
      <c r="K29" s="25">
        <f t="shared" ref="K29" si="40">IF(MONTH(K$3)=1,K25,J29+K25)</f>
        <v>131323.83423218678</v>
      </c>
      <c r="L29" s="25">
        <f t="shared" ref="L29" si="41">IF(MONTH(L$3)=1,L25,K29+L25)</f>
        <v>217623.27560330185</v>
      </c>
      <c r="M29" s="25">
        <f t="shared" ref="M29" si="42">IF(MONTH(M$3)=1,M25,L29+M25)</f>
        <v>303954.10947355395</v>
      </c>
      <c r="N29" s="25">
        <f t="shared" ref="N29" si="43">IF(MONTH(N$3)=1,N25,M29+N25)</f>
        <v>390316.98985334183</v>
      </c>
      <c r="O29" s="25">
        <f t="shared" ref="O29" si="44">IF(MONTH(O$3)=1,O25,N29+O25)</f>
        <v>476712.58437828079</v>
      </c>
      <c r="P29" s="25">
        <f t="shared" ref="P29" si="45">IF(MONTH(P$3)=1,P25,O29+P25)</f>
        <v>563141.57459306146</v>
      </c>
      <c r="Q29" s="25">
        <f t="shared" ref="Q29" si="46">IF(MONTH(Q$3)=1,Q25,P29+Q25)</f>
        <v>649604.65624122228</v>
      </c>
      <c r="R29" s="25">
        <f t="shared" ref="R29" si="47">IF(MONTH(R$3)=1,R25,Q29+R25)</f>
        <v>736102.53956095851</v>
      </c>
      <c r="S29" s="25">
        <f t="shared" ref="S29" si="48">IF(MONTH(S$3)=1,S25,R29+S25)</f>
        <v>822635.94958709483</v>
      </c>
      <c r="T29" s="25">
        <f t="shared" ref="T29" si="49">IF(MONTH(T$3)=1,T25,S29+T25)</f>
        <v>91284.030736982982</v>
      </c>
      <c r="U29" s="25">
        <f t="shared" ref="U29" si="50">IF(MONTH(U$3)=1,U25,T29+U25)</f>
        <v>182605.08387937673</v>
      </c>
      <c r="V29" s="25">
        <f t="shared" ref="V29" si="51">IF(MONTH(V$3)=1,V25,U29+V25)</f>
        <v>273963.93072729395</v>
      </c>
      <c r="W29" s="25">
        <f t="shared" ref="W29" si="52">IF(MONTH(W$3)=1,W25,V29+W25)</f>
        <v>365361.35864959972</v>
      </c>
      <c r="X29" s="25">
        <f t="shared" ref="X29" si="53">IF(MONTH(X$3)=1,X25,W29+X25)</f>
        <v>456798.1714186772</v>
      </c>
      <c r="Y29" s="25">
        <f t="shared" ref="Y29" si="54">IF(MONTH(Y$3)=1,Y25,X29+Y25)</f>
        <v>548275.18955216743</v>
      </c>
      <c r="Z29" s="25">
        <f t="shared" ref="Z29" si="55">IF(MONTH(Z$3)=1,Z25,Y29+Z25)</f>
        <v>639793.2506618289</v>
      </c>
      <c r="AA29" s="25">
        <f t="shared" ref="AA29" si="56">IF(MONTH(AA$3)=1,AA25,Z29+AA25)</f>
        <v>731353.20980966534</v>
      </c>
      <c r="AB29" s="25">
        <f t="shared" ref="AB29" si="57">IF(MONTH(AB$3)=1,AB25,AA29+AB25)</f>
        <v>822955.93987147196</v>
      </c>
      <c r="AC29" s="25">
        <f t="shared" ref="AC29" si="58">IF(MONTH(AC$3)=1,AC25,AB29+AC25)</f>
        <v>914602.33190795651</v>
      </c>
      <c r="AD29" s="25">
        <f t="shared" ref="AD29" si="59">IF(MONTH(AD$3)=1,AD25,AC29+AD25)</f>
        <v>1006293.2955435915</v>
      </c>
      <c r="AE29" s="25">
        <f t="shared" ref="AE29" si="60">IF(MONTH(AE$3)=1,AE25,AD29+AE25)</f>
        <v>1098029.759353359</v>
      </c>
      <c r="AF29" s="25">
        <f t="shared" ref="AF29" si="61">IF(MONTH(AF$3)=1,AF25,AE29+AF25)</f>
        <v>96739.429868241568</v>
      </c>
      <c r="AG29" s="25">
        <f t="shared" ref="AG29" si="62">IF(MONTH(AG$3)=1,AG25,AF29+AG25)</f>
        <v>193526.27549954414</v>
      </c>
      <c r="AH29" s="25">
        <f t="shared" ref="AH29" si="63">IF(MONTH(AH$3)=1,AH25,AG29+AH25)</f>
        <v>290361.52472230484</v>
      </c>
      <c r="AI29" s="25">
        <f t="shared" ref="AI29" si="64">IF(MONTH(AI$3)=1,AI25,AH29+AI25)</f>
        <v>387246.18594467902</v>
      </c>
      <c r="AJ29" s="25">
        <f t="shared" ref="AJ29" si="65">IF(MONTH(AJ$3)=1,AJ25,AI29+AJ25)</f>
        <v>484181.28858332528</v>
      </c>
      <c r="AK29" s="25">
        <f t="shared" ref="AK29" si="66">IF(MONTH(AK$3)=1,AK25,AJ29+AK25)</f>
        <v>581167.88350108266</v>
      </c>
      <c r="AL29" s="25">
        <f t="shared" ref="AL29" si="67">IF(MONTH(AL$3)=1,AL25,AK29+AL25)</f>
        <v>678207.04345376592</v>
      </c>
      <c r="AM29" s="25">
        <f t="shared" ref="AM29" si="68">IF(MONTH(AM$3)=1,AM25,AL29+AM25)</f>
        <v>775299.86354626948</v>
      </c>
      <c r="AN29" s="25">
        <f t="shared" ref="AN29" si="69">IF(MONTH(AN$3)=1,AN25,AM29+AN25)</f>
        <v>872447.46169817285</v>
      </c>
      <c r="AO29" s="25">
        <f t="shared" ref="AO29" si="70">IF(MONTH(AO$3)=1,AO25,AN29+AO25)</f>
        <v>969650.97911904682</v>
      </c>
      <c r="AP29" s="25">
        <f t="shared" ref="AP29" si="71">IF(MONTH(AP$3)=1,AP25,AO29+AP25)</f>
        <v>1066911.5807936615</v>
      </c>
      <c r="AQ29" s="25">
        <f t="shared" ref="AQ29" si="72">IF(MONTH(AQ$3)=1,AQ25,AP29+AQ25)</f>
        <v>1164230.4559773034</v>
      </c>
      <c r="AR29" s="25">
        <f t="shared" ref="AR29" si="73">IF(MONTH(AR$3)=1,AR25,AQ29+AR25)</f>
        <v>102589.34638461922</v>
      </c>
      <c r="AS29" s="25">
        <f t="shared" ref="AS29" si="74">IF(MONTH(AS$3)=1,AS25,AR29+AS25)</f>
        <v>205239.41963346332</v>
      </c>
      <c r="AT29" s="25">
        <f t="shared" ref="AT29" si="75">IF(MONTH(AT$3)=1,AT25,AS29+AT25)</f>
        <v>307951.48488953698</v>
      </c>
      <c r="AU29" s="25">
        <f t="shared" ref="AU29" si="76">IF(MONTH(AU$3)=1,AU25,AT29+AU25)</f>
        <v>410726.83365299081</v>
      </c>
      <c r="AV29" s="25">
        <f t="shared" ref="AV29" si="77">IF(MONTH(AV$3)=1,AV25,AU29+AV25)</f>
        <v>513566.78433022858</v>
      </c>
      <c r="AW29" s="25">
        <f t="shared" ref="AW29" si="78">IF(MONTH(AW$3)=1,AW25,AV29+AW25)</f>
        <v>616472.68279445404</v>
      </c>
      <c r="AX29" s="25">
        <f t="shared" ref="AX29" si="79">IF(MONTH(AX$3)=1,AX25,AW29+AX25)</f>
        <v>719445.90295789624</v>
      </c>
      <c r="AY29" s="25">
        <f t="shared" ref="AY29" si="80">IF(MONTH(AY$3)=1,AY25,AX29+AY25)</f>
        <v>822487.8473559554</v>
      </c>
      <c r="AZ29" s="25">
        <f t="shared" ref="AZ29" si="81">IF(MONTH(AZ$3)=1,AZ25,AY29+AZ25)</f>
        <v>925599.94774351944</v>
      </c>
      <c r="BA29" s="25">
        <f t="shared" ref="BA29" si="82">IF(MONTH(BA$3)=1,BA25,AZ29+BA25)</f>
        <v>1028783.6657037031</v>
      </c>
      <c r="BB29" s="25">
        <f t="shared" ref="BB29" si="83">IF(MONTH(BB$3)=1,BB25,BA29+BB25)</f>
        <v>1132040.4932692691</v>
      </c>
      <c r="BC29" s="25">
        <f t="shared" ref="BC29" si="84">IF(MONTH(BC$3)=1,BC25,BB29+BC25)</f>
        <v>1235371.9535569965</v>
      </c>
      <c r="BD29" s="25">
        <f t="shared" ref="BD29" si="85">IF(MONTH(BD$3)=1,BD25,BC29+BD25)</f>
        <v>108886.0196940153</v>
      </c>
      <c r="BE29" s="25">
        <f t="shared" ref="BE29" si="86">IF(MONTH(BE$3)=1,BE25,BD29+BE25)</f>
        <v>217849.81419962313</v>
      </c>
      <c r="BF29" s="25">
        <f t="shared" ref="BF29" si="87">IF(MONTH(BF$3)=1,BF25,BE29+BF25)</f>
        <v>326893.00382539834</v>
      </c>
      <c r="BG29" s="25">
        <f t="shared" ref="BG29" si="88">IF(MONTH(BG$3)=1,BG25,BF29+BG25)</f>
        <v>436017.2426363444</v>
      </c>
      <c r="BH29" s="25">
        <f t="shared" ref="BH29" si="89">IF(MONTH(BH$3)=1,BH25,BG29+BH25)</f>
        <v>545224.21915715234</v>
      </c>
      <c r="BI29" s="25">
        <f t="shared" ref="BI29" si="90">IF(MONTH(BI$3)=1,BI25,BH29+BI25)</f>
        <v>654515.65709011105</v>
      </c>
      <c r="BJ29" s="25">
        <f t="shared" ref="BJ29" si="91">IF(MONTH(BJ$3)=1,BJ25,BI29+BJ25)</f>
        <v>763893.31604797358</v>
      </c>
      <c r="BK29" s="25">
        <f t="shared" ref="BK29" si="92">IF(MONTH(BK$3)=1,BK25,BJ29+BK25)</f>
        <v>1057946.5311184986</v>
      </c>
    </row>
    <row r="30" spans="1:70" ht="26.25">
      <c r="A30" s="30" t="s">
        <v>112</v>
      </c>
      <c r="B30" s="28" t="s">
        <v>256</v>
      </c>
      <c r="C30" s="31"/>
      <c r="D30" s="25">
        <f t="shared" ref="D30:G30" si="93">IF(AND(MONTH(D$3)=1,C30&gt;0),D25,C30+D25)</f>
        <v>-4820.3078999999998</v>
      </c>
      <c r="E30" s="25">
        <f t="shared" si="93"/>
        <v>-9613.997081115147</v>
      </c>
      <c r="F30" s="25">
        <f t="shared" si="93"/>
        <v>-43306.346320035329</v>
      </c>
      <c r="G30" s="25">
        <f t="shared" si="93"/>
        <v>-68314.248562177789</v>
      </c>
      <c r="H30" s="25">
        <f t="shared" ref="H30" si="94">IF(AND(MONTH(H$3)=1,G30&gt;0),H25,G30+H25)</f>
        <v>-73734.349974021912</v>
      </c>
      <c r="I30" s="25">
        <f t="shared" ref="I30" si="95">IF(AND(MONTH(I$3)=1,H30&gt;0),I25,H30+I25)</f>
        <v>-58716.169153040595</v>
      </c>
      <c r="J30" s="25">
        <f t="shared" ref="J30" si="96">IF(AND(MONTH(J$3)=1,I30&gt;0),J25,I30+J25)</f>
        <v>-23259.103865216726</v>
      </c>
      <c r="K30" s="25">
        <f t="shared" ref="K30" si="97">IF(AND(MONTH(K$3)=1,J30&gt;0),K25,J30+K25)</f>
        <v>63009.585670008986</v>
      </c>
      <c r="L30" s="25">
        <f t="shared" ref="L30" si="98">IF(AND(MONTH(L$3)=1,K30&gt;0),L25,K30+L25)</f>
        <v>149309.02704112406</v>
      </c>
      <c r="M30" s="25">
        <f t="shared" ref="M30" si="99">IF(AND(MONTH(M$3)=1,L30&gt;0),M25,L30+M25)</f>
        <v>235639.86091137619</v>
      </c>
      <c r="N30" s="25">
        <f t="shared" ref="N30" si="100">IF(AND(MONTH(N$3)=1,M30&gt;0),N25,M30+N25)</f>
        <v>322002.74129116407</v>
      </c>
      <c r="O30" s="25">
        <f t="shared" ref="O30" si="101">IF(AND(MONTH(O$3)=1,N30&gt;0),O25,N30+O25)</f>
        <v>408398.33581610303</v>
      </c>
      <c r="P30" s="25">
        <f t="shared" ref="P30" si="102">IF(AND(MONTH(P$3)=1,O30&gt;0),P25,O30+P25)</f>
        <v>494827.32603088371</v>
      </c>
      <c r="Q30" s="25">
        <f t="shared" ref="Q30" si="103">IF(AND(MONTH(Q$3)=1,P30&gt;0),Q25,P30+Q25)</f>
        <v>581290.40767904441</v>
      </c>
      <c r="R30" s="25">
        <f t="shared" ref="R30" si="104">IF(AND(MONTH(R$3)=1,Q30&gt;0),R25,Q30+R25)</f>
        <v>667788.29099878063</v>
      </c>
      <c r="S30" s="25">
        <f t="shared" ref="S30" si="105">IF(AND(MONTH(S$3)=1,R30&gt;0),S25,R30+S25)</f>
        <v>754321.70102491695</v>
      </c>
      <c r="T30" s="25">
        <f t="shared" ref="T30" si="106">IF(AND(MONTH(T$3)=1,S30&gt;0),T25,S30+T25)</f>
        <v>91284.030736982982</v>
      </c>
      <c r="U30" s="25">
        <f t="shared" ref="U30" si="107">IF(AND(MONTH(U$3)=1,T30&gt;0),U25,T30+U25)</f>
        <v>182605.08387937673</v>
      </c>
      <c r="V30" s="25">
        <f t="shared" ref="V30" si="108">IF(AND(MONTH(V$3)=1,U30&gt;0),V25,U30+V25)</f>
        <v>273963.93072729395</v>
      </c>
      <c r="W30" s="25">
        <f t="shared" ref="W30" si="109">IF(AND(MONTH(W$3)=1,V30&gt;0),W25,V30+W25)</f>
        <v>365361.35864959972</v>
      </c>
      <c r="X30" s="25">
        <f t="shared" ref="X30" si="110">IF(AND(MONTH(X$3)=1,W30&gt;0),X25,W30+X25)</f>
        <v>456798.1714186772</v>
      </c>
      <c r="Y30" s="25">
        <f t="shared" ref="Y30" si="111">IF(AND(MONTH(Y$3)=1,X30&gt;0),Y25,X30+Y25)</f>
        <v>548275.18955216743</v>
      </c>
      <c r="Z30" s="25">
        <f t="shared" ref="Z30" si="112">IF(AND(MONTH(Z$3)=1,Y30&gt;0),Z25,Y30+Z25)</f>
        <v>639793.2506618289</v>
      </c>
      <c r="AA30" s="25">
        <f t="shared" ref="AA30" si="113">IF(AND(MONTH(AA$3)=1,Z30&gt;0),AA25,Z30+AA25)</f>
        <v>731353.20980966534</v>
      </c>
      <c r="AB30" s="25">
        <f t="shared" ref="AB30" si="114">IF(AND(MONTH(AB$3)=1,AA30&gt;0),AB25,AA30+AB25)</f>
        <v>822955.93987147196</v>
      </c>
      <c r="AC30" s="25">
        <f t="shared" ref="AC30" si="115">IF(AND(MONTH(AC$3)=1,AB30&gt;0),AC25,AB30+AC25)</f>
        <v>914602.33190795651</v>
      </c>
      <c r="AD30" s="25">
        <f t="shared" ref="AD30" si="116">IF(AND(MONTH(AD$3)=1,AC30&gt;0),AD25,AC30+AD25)</f>
        <v>1006293.2955435915</v>
      </c>
      <c r="AE30" s="25">
        <f t="shared" ref="AE30" si="117">IF(AND(MONTH(AE$3)=1,AD30&gt;0),AE25,AD30+AE25)</f>
        <v>1098029.759353359</v>
      </c>
      <c r="AF30" s="25">
        <f t="shared" ref="AF30" si="118">IF(AND(MONTH(AF$3)=1,AE30&gt;0),AF25,AE30+AF25)</f>
        <v>96739.429868241568</v>
      </c>
      <c r="AG30" s="25">
        <f t="shared" ref="AG30" si="119">IF(AND(MONTH(AG$3)=1,AF30&gt;0),AG25,AF30+AG25)</f>
        <v>193526.27549954414</v>
      </c>
      <c r="AH30" s="25">
        <f t="shared" ref="AH30" si="120">IF(AND(MONTH(AH$3)=1,AG30&gt;0),AH25,AG30+AH25)</f>
        <v>290361.52472230484</v>
      </c>
      <c r="AI30" s="25">
        <f t="shared" ref="AI30" si="121">IF(AND(MONTH(AI$3)=1,AH30&gt;0),AI25,AH30+AI25)</f>
        <v>387246.18594467902</v>
      </c>
      <c r="AJ30" s="25">
        <f t="shared" ref="AJ30" si="122">IF(AND(MONTH(AJ$3)=1,AI30&gt;0),AJ25,AI30+AJ25)</f>
        <v>484181.28858332528</v>
      </c>
      <c r="AK30" s="25">
        <f t="shared" ref="AK30" si="123">IF(AND(MONTH(AK$3)=1,AJ30&gt;0),AK25,AJ30+AK25)</f>
        <v>581167.88350108266</v>
      </c>
      <c r="AL30" s="25">
        <f t="shared" ref="AL30" si="124">IF(AND(MONTH(AL$3)=1,AK30&gt;0),AL25,AK30+AL25)</f>
        <v>678207.04345376592</v>
      </c>
      <c r="AM30" s="25">
        <f t="shared" ref="AM30" si="125">IF(AND(MONTH(AM$3)=1,AL30&gt;0),AM25,AL30+AM25)</f>
        <v>775299.86354626948</v>
      </c>
      <c r="AN30" s="25">
        <f t="shared" ref="AN30" si="126">IF(AND(MONTH(AN$3)=1,AM30&gt;0),AN25,AM30+AN25)</f>
        <v>872447.46169817285</v>
      </c>
      <c r="AO30" s="25">
        <f t="shared" ref="AO30" si="127">IF(AND(MONTH(AO$3)=1,AN30&gt;0),AO25,AN30+AO25)</f>
        <v>969650.97911904682</v>
      </c>
      <c r="AP30" s="25">
        <f t="shared" ref="AP30" si="128">IF(AND(MONTH(AP$3)=1,AO30&gt;0),AP25,AO30+AP25)</f>
        <v>1066911.5807936615</v>
      </c>
      <c r="AQ30" s="25">
        <f t="shared" ref="AQ30" si="129">IF(AND(MONTH(AQ$3)=1,AP30&gt;0),AQ25,AP30+AQ25)</f>
        <v>1164230.4559773034</v>
      </c>
      <c r="AR30" s="25">
        <f t="shared" ref="AR30" si="130">IF(AND(MONTH(AR$3)=1,AQ30&gt;0),AR25,AQ30+AR25)</f>
        <v>102589.34638461922</v>
      </c>
      <c r="AS30" s="25">
        <f t="shared" ref="AS30" si="131">IF(AND(MONTH(AS$3)=1,AR30&gt;0),AS25,AR30+AS25)</f>
        <v>205239.41963346332</v>
      </c>
      <c r="AT30" s="25">
        <f t="shared" ref="AT30" si="132">IF(AND(MONTH(AT$3)=1,AS30&gt;0),AT25,AS30+AT25)</f>
        <v>307951.48488953698</v>
      </c>
      <c r="AU30" s="25">
        <f t="shared" ref="AU30" si="133">IF(AND(MONTH(AU$3)=1,AT30&gt;0),AU25,AT30+AU25)</f>
        <v>410726.83365299081</v>
      </c>
      <c r="AV30" s="25">
        <f t="shared" ref="AV30" si="134">IF(AND(MONTH(AV$3)=1,AU30&gt;0),AV25,AU30+AV25)</f>
        <v>513566.78433022858</v>
      </c>
      <c r="AW30" s="25">
        <f t="shared" ref="AW30" si="135">IF(AND(MONTH(AW$3)=1,AV30&gt;0),AW25,AV30+AW25)</f>
        <v>616472.68279445404</v>
      </c>
      <c r="AX30" s="25">
        <f t="shared" ref="AX30" si="136">IF(AND(MONTH(AX$3)=1,AW30&gt;0),AX25,AW30+AX25)</f>
        <v>719445.90295789624</v>
      </c>
      <c r="AY30" s="25">
        <f t="shared" ref="AY30" si="137">IF(AND(MONTH(AY$3)=1,AX30&gt;0),AY25,AX30+AY25)</f>
        <v>822487.8473559554</v>
      </c>
      <c r="AZ30" s="25">
        <f t="shared" ref="AZ30" si="138">IF(AND(MONTH(AZ$3)=1,AY30&gt;0),AZ25,AY30+AZ25)</f>
        <v>925599.94774351944</v>
      </c>
      <c r="BA30" s="25">
        <f t="shared" ref="BA30" si="139">IF(AND(MONTH(BA$3)=1,AZ30&gt;0),BA25,AZ30+BA25)</f>
        <v>1028783.6657037031</v>
      </c>
      <c r="BB30" s="25">
        <f t="shared" ref="BB30" si="140">IF(AND(MONTH(BB$3)=1,BA30&gt;0),BB25,BA30+BB25)</f>
        <v>1132040.4932692691</v>
      </c>
      <c r="BC30" s="25">
        <f t="shared" ref="BC30" si="141">IF(AND(MONTH(BC$3)=1,BB30&gt;0),BC25,BB30+BC25)</f>
        <v>1235371.9535569965</v>
      </c>
      <c r="BD30" s="25">
        <f t="shared" ref="BD30" si="142">IF(AND(MONTH(BD$3)=1,BC30&gt;0),BD25,BC30+BD25)</f>
        <v>108886.0196940153</v>
      </c>
      <c r="BE30" s="25">
        <f t="shared" ref="BE30" si="143">IF(AND(MONTH(BE$3)=1,BD30&gt;0),BE25,BD30+BE25)</f>
        <v>217849.81419962313</v>
      </c>
      <c r="BF30" s="25">
        <f t="shared" ref="BF30" si="144">IF(AND(MONTH(BF$3)=1,BE30&gt;0),BF25,BE30+BF25)</f>
        <v>326893.00382539834</v>
      </c>
      <c r="BG30" s="25">
        <f t="shared" ref="BG30" si="145">IF(AND(MONTH(BG$3)=1,BF30&gt;0),BG25,BF30+BG25)</f>
        <v>436017.2426363444</v>
      </c>
      <c r="BH30" s="25">
        <f t="shared" ref="BH30" si="146">IF(AND(MONTH(BH$3)=1,BG30&gt;0),BH25,BG30+BH25)</f>
        <v>545224.21915715234</v>
      </c>
      <c r="BI30" s="25">
        <f t="shared" ref="BI30" si="147">IF(AND(MONTH(BI$3)=1,BH30&gt;0),BI25,BH30+BI25)</f>
        <v>654515.65709011105</v>
      </c>
      <c r="BJ30" s="25">
        <f t="shared" ref="BJ30" si="148">IF(AND(MONTH(BJ$3)=1,BI30&gt;0),BJ25,BI30+BJ25)</f>
        <v>763893.31604797358</v>
      </c>
      <c r="BK30" s="25">
        <f t="shared" ref="BK30" si="149">IF(AND(MONTH(BK$3)=1,BJ30&gt;0),BK25,BJ30+BK25)</f>
        <v>1057946.5311184986</v>
      </c>
    </row>
    <row r="31" spans="1:70">
      <c r="A31" s="30"/>
      <c r="B31" s="28"/>
      <c r="C31" s="31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</row>
    <row r="33" spans="1:9">
      <c r="A33" s="18" t="s">
        <v>113</v>
      </c>
      <c r="B33" s="18"/>
      <c r="C33" s="19" t="s">
        <v>116</v>
      </c>
      <c r="D33" s="19">
        <f>YEAR(Допущения!C4)</f>
        <v>2025</v>
      </c>
      <c r="E33" s="19">
        <f t="shared" ref="E33:G33" si="150">D33+1</f>
        <v>2026</v>
      </c>
      <c r="F33" s="19">
        <f t="shared" si="150"/>
        <v>2027</v>
      </c>
      <c r="G33" s="19">
        <f t="shared" si="150"/>
        <v>2028</v>
      </c>
      <c r="H33" s="19">
        <f t="shared" ref="H33" si="151">G33+1</f>
        <v>2029</v>
      </c>
      <c r="I33" s="19">
        <f t="shared" ref="I33" si="152">H33+1</f>
        <v>2030</v>
      </c>
    </row>
    <row r="34" spans="1:9">
      <c r="A34" s="27" t="s">
        <v>93</v>
      </c>
      <c r="B34" s="28" t="s">
        <v>256</v>
      </c>
      <c r="C34" s="29">
        <f>SUM(D34:I34)</f>
        <v>1191741.2583110142</v>
      </c>
      <c r="D34" s="25">
        <f t="shared" ref="D34:I34" si="153">-SUMIF($D$2:$BK$2,D33,$D$21:$BK$21)</f>
        <v>0</v>
      </c>
      <c r="E34" s="25">
        <f t="shared" si="153"/>
        <v>161817.36441770554</v>
      </c>
      <c r="F34" s="25">
        <f t="shared" si="153"/>
        <v>253019.2943470187</v>
      </c>
      <c r="G34" s="25">
        <f t="shared" si="153"/>
        <v>265688.50619037927</v>
      </c>
      <c r="H34" s="25">
        <f t="shared" si="153"/>
        <v>278991.64276714582</v>
      </c>
      <c r="I34" s="25">
        <f t="shared" si="153"/>
        <v>232224.45058876486</v>
      </c>
    </row>
    <row r="35" spans="1:9">
      <c r="A35" s="27" t="s">
        <v>114</v>
      </c>
      <c r="B35" s="28" t="s">
        <v>256</v>
      </c>
      <c r="C35" s="29">
        <f t="shared" ref="C35:C36" si="154">SUM(D35:I35)</f>
        <v>1327475.1002577688</v>
      </c>
      <c r="D35" s="25">
        <f t="shared" ref="D35:I35" si="155">SUMIF($D$2:$BK$2,D33,$D$26:$BK$26)</f>
        <v>0</v>
      </c>
      <c r="E35" s="25">
        <f t="shared" si="155"/>
        <v>188580.42525622924</v>
      </c>
      <c r="F35" s="25">
        <f t="shared" si="155"/>
        <v>274507.43983833975</v>
      </c>
      <c r="G35" s="25">
        <f t="shared" si="155"/>
        <v>291057.61399432586</v>
      </c>
      <c r="H35" s="25">
        <f t="shared" si="155"/>
        <v>308842.98838924913</v>
      </c>
      <c r="I35" s="25">
        <f t="shared" si="155"/>
        <v>264486.63277962466</v>
      </c>
    </row>
    <row r="36" spans="1:9">
      <c r="A36" s="27" t="s">
        <v>115</v>
      </c>
      <c r="B36" s="28" t="s">
        <v>256</v>
      </c>
      <c r="C36" s="29">
        <f t="shared" si="154"/>
        <v>190241.64474114974</v>
      </c>
      <c r="D36" s="25">
        <f>SUMIF(Персонал!$BL$2:$BQ$2,Налоги!D33,Персонал!$BL$109:$BQ$109)</f>
        <v>4530.0499999999993</v>
      </c>
      <c r="E36" s="25">
        <f>SUMIF(Персонал!$BL$2:$BQ$2,Налоги!E33,Персонал!$BL$109:$BQ$109)</f>
        <v>37639.4136</v>
      </c>
      <c r="F36" s="25">
        <f>SUMIF(Персонал!$BL$2:$BQ$2,Налоги!F33,Персонал!$BL$109:$BQ$109)</f>
        <v>38768.596008</v>
      </c>
      <c r="G36" s="25">
        <f>SUMIF(Персонал!$BL$2:$BQ$2,Налоги!G33,Персонал!$BL$109:$BQ$109)</f>
        <v>39931.653888239998</v>
      </c>
      <c r="H36" s="25">
        <f>SUMIF(Персонал!$BL$2:$BQ$2,Налоги!H33,Персонал!$BL$109:$BQ$109)</f>
        <v>41129.6035048872</v>
      </c>
      <c r="I36" s="25">
        <f>SUMIF(Персонал!$BL$2:$BQ$2,Налоги!I33,Персонал!$BL$109:$BQ$109)</f>
        <v>28242.327740022538</v>
      </c>
    </row>
  </sheetData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Q45"/>
  <sheetViews>
    <sheetView zoomScaleNormal="100" workbookViewId="0">
      <pane xSplit="2" ySplit="5" topLeftCell="BG6" activePane="bottomRight" state="frozen"/>
      <selection pane="topRight" activeCell="C1" sqref="C1"/>
      <selection pane="bottomLeft" activeCell="A6" sqref="A6"/>
      <selection pane="bottomRight" activeCell="BL9" sqref="BL9:BQ16"/>
    </sheetView>
  </sheetViews>
  <sheetFormatPr defaultColWidth="9" defaultRowHeight="13.9"/>
  <cols>
    <col min="1" max="1" width="49.5703125" style="1" customWidth="1"/>
    <col min="2" max="2" width="24" style="1" customWidth="1"/>
    <col min="3" max="3" width="11" style="1" customWidth="1"/>
    <col min="4" max="4" width="12.35546875" style="1" customWidth="1"/>
    <col min="5" max="6" width="11.35546875" style="1" customWidth="1"/>
    <col min="7" max="7" width="12.35546875" style="1" customWidth="1"/>
    <col min="8" max="10" width="11.35546875" style="1" customWidth="1"/>
    <col min="11" max="11" width="12.35546875" style="1" customWidth="1"/>
    <col min="12" max="12" width="11.35546875" style="1" customWidth="1"/>
    <col min="13" max="13" width="12.35546875" style="1" customWidth="1"/>
    <col min="14" max="15" width="11.35546875" style="1" customWidth="1"/>
    <col min="16" max="16" width="12.35546875" style="1" customWidth="1"/>
    <col min="17" max="18" width="11.35546875" style="1" customWidth="1"/>
    <col min="19" max="26" width="12.35546875" style="1" customWidth="1"/>
    <col min="27" max="27" width="11.35546875" style="1" customWidth="1"/>
    <col min="28" max="62" width="12.35546875" style="1" customWidth="1"/>
    <col min="63" max="63" width="9" style="1"/>
    <col min="64" max="64" width="9.5703125" style="1" customWidth="1"/>
    <col min="65" max="67" width="10.35546875" style="1" customWidth="1"/>
    <col min="68" max="69" width="10.140625" style="1" customWidth="1"/>
    <col min="70" max="16384" width="9" style="1"/>
  </cols>
  <sheetData>
    <row r="1" spans="1:69">
      <c r="A1" s="124" t="s">
        <v>6</v>
      </c>
      <c r="B1" s="124"/>
      <c r="C1" s="104">
        <f>IF(OR(MONTH(C3)=1,MONTH(C3)=2,MONTH(C3)=3),1,IF(OR(MONTH(C3)=4,MONTH(C3)=5,MONTH(C3)=6),2,IF(OR(MONTH(C3)=7,MONTH(C3)=8,MONTH(C3)=9),3,4)))</f>
        <v>3</v>
      </c>
      <c r="D1" s="104">
        <f>IF(OR(MONTH(D3)=1,MONTH(D3)=2,MONTH(D3)=3),1,IF(OR(MONTH(D3)=4,MONTH(D3)=5,MONTH(D3)=6),2,IF(OR(MONTH(D3)=7,MONTH(D3)=8,MONTH(D3)=9),3,4)))</f>
        <v>4</v>
      </c>
      <c r="E1" s="104">
        <f>IF(OR(MONTH(E3)=1,MONTH(E3)=2,MONTH(E3)=3),1,IF(OR(MONTH(E3)=4,MONTH(E3)=5,MONTH(E3)=6),2,IF(OR(MONTH(E3)=7,MONTH(E3)=8,MONTH(E3)=9),3,4)))</f>
        <v>4</v>
      </c>
      <c r="F1" s="104">
        <f t="shared" ref="F1:BJ1" si="0">IF(OR(MONTH(F3)=1,MONTH(F3)=2,MONTH(F3)=3),1,IF(OR(MONTH(F3)=4,MONTH(F3)=5,MONTH(F3)=6),2,IF(OR(MONTH(F3)=7,MONTH(F3)=8,MONTH(F3)=9),3,4)))</f>
        <v>4</v>
      </c>
      <c r="G1" s="104">
        <f t="shared" si="0"/>
        <v>1</v>
      </c>
      <c r="H1" s="104">
        <f t="shared" si="0"/>
        <v>1</v>
      </c>
      <c r="I1" s="104">
        <f t="shared" si="0"/>
        <v>1</v>
      </c>
      <c r="J1" s="104">
        <f t="shared" si="0"/>
        <v>2</v>
      </c>
      <c r="K1" s="104">
        <f t="shared" si="0"/>
        <v>2</v>
      </c>
      <c r="L1" s="104">
        <f t="shared" si="0"/>
        <v>2</v>
      </c>
      <c r="M1" s="104">
        <f t="shared" si="0"/>
        <v>3</v>
      </c>
      <c r="N1" s="104">
        <f t="shared" si="0"/>
        <v>3</v>
      </c>
      <c r="O1" s="104">
        <f t="shared" si="0"/>
        <v>3</v>
      </c>
      <c r="P1" s="104">
        <f t="shared" si="0"/>
        <v>4</v>
      </c>
      <c r="Q1" s="104">
        <f t="shared" si="0"/>
        <v>4</v>
      </c>
      <c r="R1" s="104">
        <f t="shared" si="0"/>
        <v>4</v>
      </c>
      <c r="S1" s="104">
        <f t="shared" si="0"/>
        <v>1</v>
      </c>
      <c r="T1" s="104">
        <f t="shared" si="0"/>
        <v>1</v>
      </c>
      <c r="U1" s="104">
        <f t="shared" si="0"/>
        <v>1</v>
      </c>
      <c r="V1" s="104">
        <f t="shared" si="0"/>
        <v>2</v>
      </c>
      <c r="W1" s="104">
        <f t="shared" si="0"/>
        <v>2</v>
      </c>
      <c r="X1" s="104">
        <f t="shared" si="0"/>
        <v>2</v>
      </c>
      <c r="Y1" s="104">
        <f t="shared" si="0"/>
        <v>3</v>
      </c>
      <c r="Z1" s="104">
        <f t="shared" si="0"/>
        <v>3</v>
      </c>
      <c r="AA1" s="104">
        <f t="shared" si="0"/>
        <v>3</v>
      </c>
      <c r="AB1" s="104">
        <f t="shared" si="0"/>
        <v>4</v>
      </c>
      <c r="AC1" s="104">
        <f t="shared" si="0"/>
        <v>4</v>
      </c>
      <c r="AD1" s="104">
        <f t="shared" si="0"/>
        <v>4</v>
      </c>
      <c r="AE1" s="104">
        <f t="shared" si="0"/>
        <v>1</v>
      </c>
      <c r="AF1" s="104">
        <f t="shared" si="0"/>
        <v>1</v>
      </c>
      <c r="AG1" s="104">
        <f t="shared" si="0"/>
        <v>1</v>
      </c>
      <c r="AH1" s="104">
        <f t="shared" si="0"/>
        <v>2</v>
      </c>
      <c r="AI1" s="104">
        <f t="shared" si="0"/>
        <v>2</v>
      </c>
      <c r="AJ1" s="104">
        <f t="shared" si="0"/>
        <v>2</v>
      </c>
      <c r="AK1" s="104">
        <f t="shared" si="0"/>
        <v>3</v>
      </c>
      <c r="AL1" s="104">
        <f t="shared" si="0"/>
        <v>3</v>
      </c>
      <c r="AM1" s="104">
        <f t="shared" si="0"/>
        <v>3</v>
      </c>
      <c r="AN1" s="104">
        <f t="shared" si="0"/>
        <v>4</v>
      </c>
      <c r="AO1" s="104">
        <f t="shared" si="0"/>
        <v>4</v>
      </c>
      <c r="AP1" s="104">
        <f t="shared" si="0"/>
        <v>4</v>
      </c>
      <c r="AQ1" s="104">
        <f t="shared" si="0"/>
        <v>1</v>
      </c>
      <c r="AR1" s="104">
        <f t="shared" si="0"/>
        <v>1</v>
      </c>
      <c r="AS1" s="104">
        <f t="shared" si="0"/>
        <v>1</v>
      </c>
      <c r="AT1" s="104">
        <f t="shared" si="0"/>
        <v>2</v>
      </c>
      <c r="AU1" s="104">
        <f t="shared" si="0"/>
        <v>2</v>
      </c>
      <c r="AV1" s="104">
        <f t="shared" si="0"/>
        <v>2</v>
      </c>
      <c r="AW1" s="104">
        <f t="shared" si="0"/>
        <v>3</v>
      </c>
      <c r="AX1" s="104">
        <f t="shared" si="0"/>
        <v>3</v>
      </c>
      <c r="AY1" s="104">
        <f t="shared" si="0"/>
        <v>3</v>
      </c>
      <c r="AZ1" s="104">
        <f t="shared" si="0"/>
        <v>4</v>
      </c>
      <c r="BA1" s="104">
        <f t="shared" si="0"/>
        <v>4</v>
      </c>
      <c r="BB1" s="104">
        <f t="shared" si="0"/>
        <v>4</v>
      </c>
      <c r="BC1" s="104">
        <f t="shared" si="0"/>
        <v>1</v>
      </c>
      <c r="BD1" s="104">
        <f t="shared" si="0"/>
        <v>1</v>
      </c>
      <c r="BE1" s="104">
        <f t="shared" si="0"/>
        <v>1</v>
      </c>
      <c r="BF1" s="104">
        <f t="shared" si="0"/>
        <v>2</v>
      </c>
      <c r="BG1" s="104">
        <f t="shared" si="0"/>
        <v>2</v>
      </c>
      <c r="BH1" s="104">
        <f t="shared" si="0"/>
        <v>2</v>
      </c>
      <c r="BI1" s="104">
        <f t="shared" si="0"/>
        <v>3</v>
      </c>
      <c r="BJ1" s="104">
        <f t="shared" si="0"/>
        <v>3</v>
      </c>
      <c r="BM1" s="2"/>
    </row>
    <row r="2" spans="1:69">
      <c r="A2" s="124" t="s">
        <v>7</v>
      </c>
      <c r="B2" s="124"/>
      <c r="C2" s="104">
        <f>YEAR(C3)</f>
        <v>2025</v>
      </c>
      <c r="D2" s="104">
        <f>YEAR(D3)</f>
        <v>2025</v>
      </c>
      <c r="E2" s="104">
        <f t="shared" ref="E2:BJ2" si="1">YEAR(E3)</f>
        <v>2025</v>
      </c>
      <c r="F2" s="104">
        <f t="shared" si="1"/>
        <v>2025</v>
      </c>
      <c r="G2" s="104">
        <f t="shared" si="1"/>
        <v>2026</v>
      </c>
      <c r="H2" s="104">
        <f t="shared" si="1"/>
        <v>2026</v>
      </c>
      <c r="I2" s="104">
        <f t="shared" si="1"/>
        <v>2026</v>
      </c>
      <c r="J2" s="104">
        <f t="shared" si="1"/>
        <v>2026</v>
      </c>
      <c r="K2" s="104">
        <f t="shared" si="1"/>
        <v>2026</v>
      </c>
      <c r="L2" s="104">
        <f t="shared" si="1"/>
        <v>2026</v>
      </c>
      <c r="M2" s="104">
        <f t="shared" si="1"/>
        <v>2026</v>
      </c>
      <c r="N2" s="104">
        <f t="shared" si="1"/>
        <v>2026</v>
      </c>
      <c r="O2" s="104">
        <f t="shared" si="1"/>
        <v>2026</v>
      </c>
      <c r="P2" s="104">
        <f t="shared" si="1"/>
        <v>2026</v>
      </c>
      <c r="Q2" s="104">
        <f t="shared" si="1"/>
        <v>2026</v>
      </c>
      <c r="R2" s="104">
        <f t="shared" si="1"/>
        <v>2026</v>
      </c>
      <c r="S2" s="104">
        <f t="shared" si="1"/>
        <v>2027</v>
      </c>
      <c r="T2" s="104">
        <f t="shared" si="1"/>
        <v>2027</v>
      </c>
      <c r="U2" s="104">
        <f t="shared" si="1"/>
        <v>2027</v>
      </c>
      <c r="V2" s="104">
        <f t="shared" si="1"/>
        <v>2027</v>
      </c>
      <c r="W2" s="104">
        <f t="shared" si="1"/>
        <v>2027</v>
      </c>
      <c r="X2" s="104">
        <f t="shared" si="1"/>
        <v>2027</v>
      </c>
      <c r="Y2" s="104">
        <f t="shared" si="1"/>
        <v>2027</v>
      </c>
      <c r="Z2" s="104">
        <f t="shared" si="1"/>
        <v>2027</v>
      </c>
      <c r="AA2" s="104">
        <f t="shared" si="1"/>
        <v>2027</v>
      </c>
      <c r="AB2" s="104">
        <f t="shared" si="1"/>
        <v>2027</v>
      </c>
      <c r="AC2" s="104">
        <f t="shared" si="1"/>
        <v>2027</v>
      </c>
      <c r="AD2" s="104">
        <f t="shared" si="1"/>
        <v>2027</v>
      </c>
      <c r="AE2" s="104">
        <f t="shared" si="1"/>
        <v>2028</v>
      </c>
      <c r="AF2" s="104">
        <f t="shared" si="1"/>
        <v>2028</v>
      </c>
      <c r="AG2" s="104">
        <f t="shared" si="1"/>
        <v>2028</v>
      </c>
      <c r="AH2" s="104">
        <f t="shared" si="1"/>
        <v>2028</v>
      </c>
      <c r="AI2" s="104">
        <f t="shared" si="1"/>
        <v>2028</v>
      </c>
      <c r="AJ2" s="104">
        <f t="shared" si="1"/>
        <v>2028</v>
      </c>
      <c r="AK2" s="104">
        <f t="shared" si="1"/>
        <v>2028</v>
      </c>
      <c r="AL2" s="104">
        <f t="shared" si="1"/>
        <v>2028</v>
      </c>
      <c r="AM2" s="104">
        <f t="shared" si="1"/>
        <v>2028</v>
      </c>
      <c r="AN2" s="104">
        <f t="shared" si="1"/>
        <v>2028</v>
      </c>
      <c r="AO2" s="104">
        <f t="shared" si="1"/>
        <v>2028</v>
      </c>
      <c r="AP2" s="104">
        <f t="shared" si="1"/>
        <v>2028</v>
      </c>
      <c r="AQ2" s="104">
        <f t="shared" si="1"/>
        <v>2029</v>
      </c>
      <c r="AR2" s="104">
        <f t="shared" si="1"/>
        <v>2029</v>
      </c>
      <c r="AS2" s="104">
        <f t="shared" si="1"/>
        <v>2029</v>
      </c>
      <c r="AT2" s="104">
        <f t="shared" si="1"/>
        <v>2029</v>
      </c>
      <c r="AU2" s="104">
        <f t="shared" si="1"/>
        <v>2029</v>
      </c>
      <c r="AV2" s="104">
        <f t="shared" si="1"/>
        <v>2029</v>
      </c>
      <c r="AW2" s="104">
        <f t="shared" si="1"/>
        <v>2029</v>
      </c>
      <c r="AX2" s="104">
        <f t="shared" si="1"/>
        <v>2029</v>
      </c>
      <c r="AY2" s="104">
        <f t="shared" si="1"/>
        <v>2029</v>
      </c>
      <c r="AZ2" s="104">
        <f t="shared" si="1"/>
        <v>2029</v>
      </c>
      <c r="BA2" s="104">
        <f t="shared" si="1"/>
        <v>2029</v>
      </c>
      <c r="BB2" s="104">
        <f t="shared" si="1"/>
        <v>2029</v>
      </c>
      <c r="BC2" s="104">
        <f t="shared" si="1"/>
        <v>2030</v>
      </c>
      <c r="BD2" s="104">
        <f t="shared" si="1"/>
        <v>2030</v>
      </c>
      <c r="BE2" s="104">
        <f t="shared" si="1"/>
        <v>2030</v>
      </c>
      <c r="BF2" s="104">
        <f t="shared" si="1"/>
        <v>2030</v>
      </c>
      <c r="BG2" s="104">
        <f t="shared" si="1"/>
        <v>2030</v>
      </c>
      <c r="BH2" s="104">
        <f t="shared" si="1"/>
        <v>2030</v>
      </c>
      <c r="BI2" s="104">
        <f t="shared" si="1"/>
        <v>2030</v>
      </c>
      <c r="BJ2" s="104">
        <f t="shared" si="1"/>
        <v>2030</v>
      </c>
      <c r="BL2" s="104">
        <f>YEAR(C3)</f>
        <v>2025</v>
      </c>
      <c r="BM2" s="104">
        <f t="shared" ref="BM2:BQ2" si="2">BL2+1</f>
        <v>2026</v>
      </c>
      <c r="BN2" s="104">
        <f t="shared" si="2"/>
        <v>2027</v>
      </c>
      <c r="BO2" s="104">
        <f t="shared" si="2"/>
        <v>2028</v>
      </c>
      <c r="BP2" s="104">
        <f t="shared" si="2"/>
        <v>2029</v>
      </c>
      <c r="BQ2" s="104">
        <f t="shared" si="2"/>
        <v>2030</v>
      </c>
    </row>
    <row r="3" spans="1:69">
      <c r="A3" s="124" t="s">
        <v>8</v>
      </c>
      <c r="B3" s="124"/>
      <c r="C3" s="125">
        <f>Допущения!$C$4</f>
        <v>45901</v>
      </c>
      <c r="D3" s="125">
        <f t="shared" ref="D3:BK3" si="3">DATE(YEAR(C3),MONTH(C3)+1,1)</f>
        <v>45931</v>
      </c>
      <c r="E3" s="125">
        <f t="shared" si="3"/>
        <v>45962</v>
      </c>
      <c r="F3" s="125">
        <f t="shared" si="3"/>
        <v>45992</v>
      </c>
      <c r="G3" s="125">
        <f t="shared" si="3"/>
        <v>46023</v>
      </c>
      <c r="H3" s="125">
        <f t="shared" si="3"/>
        <v>46054</v>
      </c>
      <c r="I3" s="125">
        <f t="shared" si="3"/>
        <v>46082</v>
      </c>
      <c r="J3" s="125">
        <f t="shared" si="3"/>
        <v>46113</v>
      </c>
      <c r="K3" s="125">
        <f t="shared" si="3"/>
        <v>46143</v>
      </c>
      <c r="L3" s="125">
        <f t="shared" si="3"/>
        <v>46174</v>
      </c>
      <c r="M3" s="125">
        <f t="shared" si="3"/>
        <v>46204</v>
      </c>
      <c r="N3" s="125">
        <f t="shared" si="3"/>
        <v>46235</v>
      </c>
      <c r="O3" s="125">
        <f t="shared" si="3"/>
        <v>46266</v>
      </c>
      <c r="P3" s="125">
        <f t="shared" si="3"/>
        <v>46296</v>
      </c>
      <c r="Q3" s="125">
        <f t="shared" si="3"/>
        <v>46327</v>
      </c>
      <c r="R3" s="125">
        <f t="shared" si="3"/>
        <v>46357</v>
      </c>
      <c r="S3" s="125">
        <f t="shared" si="3"/>
        <v>46388</v>
      </c>
      <c r="T3" s="125">
        <f t="shared" si="3"/>
        <v>46419</v>
      </c>
      <c r="U3" s="125">
        <f t="shared" si="3"/>
        <v>46447</v>
      </c>
      <c r="V3" s="125">
        <f t="shared" si="3"/>
        <v>46478</v>
      </c>
      <c r="W3" s="125">
        <f t="shared" si="3"/>
        <v>46508</v>
      </c>
      <c r="X3" s="125">
        <f t="shared" si="3"/>
        <v>46539</v>
      </c>
      <c r="Y3" s="125">
        <f t="shared" si="3"/>
        <v>46569</v>
      </c>
      <c r="Z3" s="125">
        <f t="shared" si="3"/>
        <v>46600</v>
      </c>
      <c r="AA3" s="125">
        <f t="shared" si="3"/>
        <v>46631</v>
      </c>
      <c r="AB3" s="125">
        <f t="shared" si="3"/>
        <v>46661</v>
      </c>
      <c r="AC3" s="125">
        <f t="shared" si="3"/>
        <v>46692</v>
      </c>
      <c r="AD3" s="125">
        <f t="shared" si="3"/>
        <v>46722</v>
      </c>
      <c r="AE3" s="125">
        <f t="shared" si="3"/>
        <v>46753</v>
      </c>
      <c r="AF3" s="125">
        <f t="shared" si="3"/>
        <v>46784</v>
      </c>
      <c r="AG3" s="125">
        <f t="shared" si="3"/>
        <v>46813</v>
      </c>
      <c r="AH3" s="125">
        <f t="shared" si="3"/>
        <v>46844</v>
      </c>
      <c r="AI3" s="125">
        <f t="shared" si="3"/>
        <v>46874</v>
      </c>
      <c r="AJ3" s="125">
        <f t="shared" si="3"/>
        <v>46905</v>
      </c>
      <c r="AK3" s="125">
        <f t="shared" si="3"/>
        <v>46935</v>
      </c>
      <c r="AL3" s="125">
        <f t="shared" si="3"/>
        <v>46966</v>
      </c>
      <c r="AM3" s="125">
        <f t="shared" si="3"/>
        <v>46997</v>
      </c>
      <c r="AN3" s="125">
        <f t="shared" si="3"/>
        <v>47027</v>
      </c>
      <c r="AO3" s="125">
        <f t="shared" si="3"/>
        <v>47058</v>
      </c>
      <c r="AP3" s="125">
        <f t="shared" si="3"/>
        <v>47088</v>
      </c>
      <c r="AQ3" s="125">
        <f t="shared" si="3"/>
        <v>47119</v>
      </c>
      <c r="AR3" s="125">
        <f t="shared" si="3"/>
        <v>47150</v>
      </c>
      <c r="AS3" s="125">
        <f t="shared" si="3"/>
        <v>47178</v>
      </c>
      <c r="AT3" s="125">
        <f t="shared" si="3"/>
        <v>47209</v>
      </c>
      <c r="AU3" s="125">
        <f t="shared" si="3"/>
        <v>47239</v>
      </c>
      <c r="AV3" s="125">
        <f t="shared" si="3"/>
        <v>47270</v>
      </c>
      <c r="AW3" s="125">
        <f t="shared" si="3"/>
        <v>47300</v>
      </c>
      <c r="AX3" s="125">
        <f t="shared" si="3"/>
        <v>47331</v>
      </c>
      <c r="AY3" s="125">
        <f t="shared" si="3"/>
        <v>47362</v>
      </c>
      <c r="AZ3" s="125">
        <f t="shared" si="3"/>
        <v>47392</v>
      </c>
      <c r="BA3" s="125">
        <f t="shared" si="3"/>
        <v>47423</v>
      </c>
      <c r="BB3" s="125">
        <f t="shared" si="3"/>
        <v>47453</v>
      </c>
      <c r="BC3" s="125">
        <f t="shared" si="3"/>
        <v>47484</v>
      </c>
      <c r="BD3" s="125">
        <f t="shared" si="3"/>
        <v>47515</v>
      </c>
      <c r="BE3" s="125">
        <f t="shared" si="3"/>
        <v>47543</v>
      </c>
      <c r="BF3" s="125">
        <f t="shared" si="3"/>
        <v>47574</v>
      </c>
      <c r="BG3" s="125">
        <f t="shared" si="3"/>
        <v>47604</v>
      </c>
      <c r="BH3" s="125">
        <f t="shared" si="3"/>
        <v>47635</v>
      </c>
      <c r="BI3" s="125">
        <f t="shared" si="3"/>
        <v>47665</v>
      </c>
      <c r="BJ3" s="125">
        <f t="shared" si="3"/>
        <v>47696</v>
      </c>
      <c r="BK3" s="9">
        <f t="shared" si="3"/>
        <v>47727</v>
      </c>
    </row>
    <row r="4" spans="1:69">
      <c r="A4" s="124" t="s">
        <v>10</v>
      </c>
      <c r="B4" s="124"/>
      <c r="C4" s="104">
        <f>D3-C3</f>
        <v>30</v>
      </c>
      <c r="D4" s="104">
        <f>E3-D3</f>
        <v>31</v>
      </c>
      <c r="E4" s="104">
        <f t="shared" ref="E4:BJ4" si="4">F3-E3</f>
        <v>30</v>
      </c>
      <c r="F4" s="104">
        <f t="shared" si="4"/>
        <v>31</v>
      </c>
      <c r="G4" s="104">
        <f t="shared" si="4"/>
        <v>31</v>
      </c>
      <c r="H4" s="104">
        <f t="shared" si="4"/>
        <v>28</v>
      </c>
      <c r="I4" s="104">
        <f t="shared" si="4"/>
        <v>31</v>
      </c>
      <c r="J4" s="104">
        <f t="shared" si="4"/>
        <v>30</v>
      </c>
      <c r="K4" s="104">
        <f t="shared" si="4"/>
        <v>31</v>
      </c>
      <c r="L4" s="104">
        <f t="shared" si="4"/>
        <v>30</v>
      </c>
      <c r="M4" s="104">
        <f t="shared" si="4"/>
        <v>31</v>
      </c>
      <c r="N4" s="104">
        <f t="shared" si="4"/>
        <v>31</v>
      </c>
      <c r="O4" s="104">
        <f t="shared" si="4"/>
        <v>30</v>
      </c>
      <c r="P4" s="104">
        <f t="shared" si="4"/>
        <v>31</v>
      </c>
      <c r="Q4" s="104">
        <f t="shared" si="4"/>
        <v>30</v>
      </c>
      <c r="R4" s="104">
        <f t="shared" si="4"/>
        <v>31</v>
      </c>
      <c r="S4" s="104">
        <f t="shared" si="4"/>
        <v>31</v>
      </c>
      <c r="T4" s="104">
        <f t="shared" si="4"/>
        <v>28</v>
      </c>
      <c r="U4" s="104">
        <f t="shared" si="4"/>
        <v>31</v>
      </c>
      <c r="V4" s="104">
        <f t="shared" si="4"/>
        <v>30</v>
      </c>
      <c r="W4" s="104">
        <f t="shared" si="4"/>
        <v>31</v>
      </c>
      <c r="X4" s="104">
        <f t="shared" si="4"/>
        <v>30</v>
      </c>
      <c r="Y4" s="104">
        <f t="shared" si="4"/>
        <v>31</v>
      </c>
      <c r="Z4" s="104">
        <f t="shared" si="4"/>
        <v>31</v>
      </c>
      <c r="AA4" s="104">
        <f t="shared" si="4"/>
        <v>30</v>
      </c>
      <c r="AB4" s="104">
        <f t="shared" si="4"/>
        <v>31</v>
      </c>
      <c r="AC4" s="104">
        <f t="shared" si="4"/>
        <v>30</v>
      </c>
      <c r="AD4" s="104">
        <f t="shared" si="4"/>
        <v>31</v>
      </c>
      <c r="AE4" s="104">
        <f t="shared" si="4"/>
        <v>31</v>
      </c>
      <c r="AF4" s="104">
        <f t="shared" si="4"/>
        <v>29</v>
      </c>
      <c r="AG4" s="104">
        <f t="shared" si="4"/>
        <v>31</v>
      </c>
      <c r="AH4" s="104">
        <f t="shared" si="4"/>
        <v>30</v>
      </c>
      <c r="AI4" s="104">
        <f t="shared" si="4"/>
        <v>31</v>
      </c>
      <c r="AJ4" s="104">
        <f t="shared" si="4"/>
        <v>30</v>
      </c>
      <c r="AK4" s="104">
        <f t="shared" si="4"/>
        <v>31</v>
      </c>
      <c r="AL4" s="104">
        <f t="shared" si="4"/>
        <v>31</v>
      </c>
      <c r="AM4" s="104">
        <f t="shared" si="4"/>
        <v>30</v>
      </c>
      <c r="AN4" s="104">
        <f t="shared" si="4"/>
        <v>31</v>
      </c>
      <c r="AO4" s="104">
        <f t="shared" si="4"/>
        <v>30</v>
      </c>
      <c r="AP4" s="104">
        <f t="shared" si="4"/>
        <v>31</v>
      </c>
      <c r="AQ4" s="104">
        <f t="shared" si="4"/>
        <v>31</v>
      </c>
      <c r="AR4" s="104">
        <f t="shared" si="4"/>
        <v>28</v>
      </c>
      <c r="AS4" s="104">
        <f t="shared" si="4"/>
        <v>31</v>
      </c>
      <c r="AT4" s="104">
        <f t="shared" si="4"/>
        <v>30</v>
      </c>
      <c r="AU4" s="104">
        <f t="shared" si="4"/>
        <v>31</v>
      </c>
      <c r="AV4" s="104">
        <f t="shared" si="4"/>
        <v>30</v>
      </c>
      <c r="AW4" s="104">
        <f t="shared" si="4"/>
        <v>31</v>
      </c>
      <c r="AX4" s="104">
        <f t="shared" si="4"/>
        <v>31</v>
      </c>
      <c r="AY4" s="104">
        <f t="shared" si="4"/>
        <v>30</v>
      </c>
      <c r="AZ4" s="104">
        <f t="shared" si="4"/>
        <v>31</v>
      </c>
      <c r="BA4" s="104">
        <f t="shared" si="4"/>
        <v>30</v>
      </c>
      <c r="BB4" s="104">
        <f t="shared" si="4"/>
        <v>31</v>
      </c>
      <c r="BC4" s="104">
        <f t="shared" si="4"/>
        <v>31</v>
      </c>
      <c r="BD4" s="104">
        <f t="shared" si="4"/>
        <v>28</v>
      </c>
      <c r="BE4" s="104">
        <f t="shared" si="4"/>
        <v>31</v>
      </c>
      <c r="BF4" s="104">
        <f t="shared" si="4"/>
        <v>30</v>
      </c>
      <c r="BG4" s="104">
        <f t="shared" si="4"/>
        <v>31</v>
      </c>
      <c r="BH4" s="104">
        <f t="shared" si="4"/>
        <v>30</v>
      </c>
      <c r="BI4" s="104">
        <f t="shared" si="4"/>
        <v>31</v>
      </c>
      <c r="BJ4" s="104">
        <f t="shared" si="4"/>
        <v>31</v>
      </c>
    </row>
    <row r="5" spans="1:69">
      <c r="A5" s="124" t="s">
        <v>9</v>
      </c>
      <c r="B5" s="124"/>
      <c r="C5" s="104">
        <v>1</v>
      </c>
      <c r="D5" s="104">
        <f>C5+1</f>
        <v>2</v>
      </c>
      <c r="E5" s="104">
        <f t="shared" ref="E5:BJ5" si="5">D5+1</f>
        <v>3</v>
      </c>
      <c r="F5" s="104">
        <f t="shared" si="5"/>
        <v>4</v>
      </c>
      <c r="G5" s="104">
        <f t="shared" si="5"/>
        <v>5</v>
      </c>
      <c r="H5" s="104">
        <f t="shared" si="5"/>
        <v>6</v>
      </c>
      <c r="I5" s="104">
        <f t="shared" si="5"/>
        <v>7</v>
      </c>
      <c r="J5" s="104">
        <f t="shared" si="5"/>
        <v>8</v>
      </c>
      <c r="K5" s="104">
        <f t="shared" si="5"/>
        <v>9</v>
      </c>
      <c r="L5" s="104">
        <f t="shared" si="5"/>
        <v>10</v>
      </c>
      <c r="M5" s="104">
        <f t="shared" si="5"/>
        <v>11</v>
      </c>
      <c r="N5" s="104">
        <f t="shared" si="5"/>
        <v>12</v>
      </c>
      <c r="O5" s="104">
        <f t="shared" si="5"/>
        <v>13</v>
      </c>
      <c r="P5" s="104">
        <f t="shared" si="5"/>
        <v>14</v>
      </c>
      <c r="Q5" s="104">
        <f t="shared" si="5"/>
        <v>15</v>
      </c>
      <c r="R5" s="104">
        <f t="shared" si="5"/>
        <v>16</v>
      </c>
      <c r="S5" s="104">
        <f t="shared" si="5"/>
        <v>17</v>
      </c>
      <c r="T5" s="104">
        <f t="shared" si="5"/>
        <v>18</v>
      </c>
      <c r="U5" s="104">
        <f t="shared" si="5"/>
        <v>19</v>
      </c>
      <c r="V5" s="104">
        <f t="shared" si="5"/>
        <v>20</v>
      </c>
      <c r="W5" s="104">
        <f t="shared" si="5"/>
        <v>21</v>
      </c>
      <c r="X5" s="104">
        <f t="shared" si="5"/>
        <v>22</v>
      </c>
      <c r="Y5" s="104">
        <f t="shared" si="5"/>
        <v>23</v>
      </c>
      <c r="Z5" s="104">
        <f t="shared" si="5"/>
        <v>24</v>
      </c>
      <c r="AA5" s="104">
        <f t="shared" si="5"/>
        <v>25</v>
      </c>
      <c r="AB5" s="104">
        <f t="shared" si="5"/>
        <v>26</v>
      </c>
      <c r="AC5" s="104">
        <f t="shared" si="5"/>
        <v>27</v>
      </c>
      <c r="AD5" s="104">
        <f t="shared" si="5"/>
        <v>28</v>
      </c>
      <c r="AE5" s="104">
        <f t="shared" si="5"/>
        <v>29</v>
      </c>
      <c r="AF5" s="104">
        <f t="shared" si="5"/>
        <v>30</v>
      </c>
      <c r="AG5" s="104">
        <f t="shared" si="5"/>
        <v>31</v>
      </c>
      <c r="AH5" s="104">
        <f t="shared" si="5"/>
        <v>32</v>
      </c>
      <c r="AI5" s="104">
        <f t="shared" si="5"/>
        <v>33</v>
      </c>
      <c r="AJ5" s="104">
        <f>AI5+1</f>
        <v>34</v>
      </c>
      <c r="AK5" s="104">
        <f t="shared" si="5"/>
        <v>35</v>
      </c>
      <c r="AL5" s="104">
        <f t="shared" si="5"/>
        <v>36</v>
      </c>
      <c r="AM5" s="104">
        <f t="shared" si="5"/>
        <v>37</v>
      </c>
      <c r="AN5" s="104">
        <f t="shared" si="5"/>
        <v>38</v>
      </c>
      <c r="AO5" s="104">
        <f t="shared" si="5"/>
        <v>39</v>
      </c>
      <c r="AP5" s="104">
        <f t="shared" si="5"/>
        <v>40</v>
      </c>
      <c r="AQ5" s="104">
        <f t="shared" si="5"/>
        <v>41</v>
      </c>
      <c r="AR5" s="104">
        <f t="shared" si="5"/>
        <v>42</v>
      </c>
      <c r="AS5" s="104">
        <f t="shared" si="5"/>
        <v>43</v>
      </c>
      <c r="AT5" s="104">
        <f t="shared" si="5"/>
        <v>44</v>
      </c>
      <c r="AU5" s="104">
        <f t="shared" si="5"/>
        <v>45</v>
      </c>
      <c r="AV5" s="104">
        <f t="shared" si="5"/>
        <v>46</v>
      </c>
      <c r="AW5" s="104">
        <f t="shared" si="5"/>
        <v>47</v>
      </c>
      <c r="AX5" s="104">
        <f t="shared" si="5"/>
        <v>48</v>
      </c>
      <c r="AY5" s="104">
        <f t="shared" si="5"/>
        <v>49</v>
      </c>
      <c r="AZ5" s="104">
        <f t="shared" si="5"/>
        <v>50</v>
      </c>
      <c r="BA5" s="104">
        <f t="shared" si="5"/>
        <v>51</v>
      </c>
      <c r="BB5" s="104">
        <f t="shared" si="5"/>
        <v>52</v>
      </c>
      <c r="BC5" s="104">
        <f t="shared" si="5"/>
        <v>53</v>
      </c>
      <c r="BD5" s="104">
        <f t="shared" si="5"/>
        <v>54</v>
      </c>
      <c r="BE5" s="104">
        <f t="shared" si="5"/>
        <v>55</v>
      </c>
      <c r="BF5" s="104">
        <f t="shared" si="5"/>
        <v>56</v>
      </c>
      <c r="BG5" s="104">
        <f t="shared" si="5"/>
        <v>57</v>
      </c>
      <c r="BH5" s="104">
        <f t="shared" si="5"/>
        <v>58</v>
      </c>
      <c r="BI5" s="104">
        <f t="shared" si="5"/>
        <v>59</v>
      </c>
      <c r="BJ5" s="104">
        <f t="shared" si="5"/>
        <v>60</v>
      </c>
    </row>
    <row r="6" spans="1:69"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</row>
    <row r="7" spans="1:69">
      <c r="A7" s="102"/>
      <c r="B7" s="102"/>
      <c r="C7" s="102"/>
      <c r="D7" s="102"/>
      <c r="E7" s="196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2"/>
      <c r="BL7" s="102"/>
      <c r="BM7" s="102"/>
      <c r="BN7" s="102"/>
      <c r="BO7" s="102"/>
      <c r="BP7" s="102"/>
      <c r="BQ7" s="102"/>
    </row>
    <row r="8" spans="1:69">
      <c r="A8" s="124" t="s">
        <v>257</v>
      </c>
      <c r="B8" s="124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2"/>
      <c r="BQ8" s="102"/>
    </row>
    <row r="9" spans="1:69" ht="16.5" customHeight="1">
      <c r="A9" s="207" t="s">
        <v>195</v>
      </c>
      <c r="B9" s="194"/>
      <c r="C9" s="194">
        <f>SUM(C10:C12)</f>
        <v>0</v>
      </c>
      <c r="D9" s="194">
        <f t="shared" ref="D9:BJ9" si="6">SUM(D10:D12)</f>
        <v>0</v>
      </c>
      <c r="E9" s="194">
        <f t="shared" si="6"/>
        <v>9361.1111111111113</v>
      </c>
      <c r="F9" s="194">
        <f t="shared" si="6"/>
        <v>22818.76344086021</v>
      </c>
      <c r="G9" s="194">
        <f t="shared" si="6"/>
        <v>38386.137096774197</v>
      </c>
      <c r="H9" s="194">
        <f t="shared" si="6"/>
        <v>58471.062500000015</v>
      </c>
      <c r="I9" s="194">
        <f t="shared" si="6"/>
        <v>67239.008064516136</v>
      </c>
      <c r="J9" s="194">
        <f t="shared" si="6"/>
        <v>74558.458333333343</v>
      </c>
      <c r="K9" s="194">
        <f t="shared" si="6"/>
        <v>72153.34677419356</v>
      </c>
      <c r="L9" s="194">
        <f t="shared" si="6"/>
        <v>74558.458333333343</v>
      </c>
      <c r="M9" s="194">
        <f t="shared" si="6"/>
        <v>72153.34677419356</v>
      </c>
      <c r="N9" s="194">
        <f t="shared" si="6"/>
        <v>72153.34677419356</v>
      </c>
      <c r="O9" s="194">
        <f t="shared" si="6"/>
        <v>74558.458333333343</v>
      </c>
      <c r="P9" s="194">
        <f t="shared" si="6"/>
        <v>72153.34677419356</v>
      </c>
      <c r="Q9" s="194">
        <f t="shared" si="6"/>
        <v>74558.458333333343</v>
      </c>
      <c r="R9" s="194">
        <f t="shared" si="6"/>
        <v>72153.34677419356</v>
      </c>
      <c r="S9" s="194">
        <f t="shared" si="6"/>
        <v>75761.014112903242</v>
      </c>
      <c r="T9" s="194">
        <f t="shared" si="6"/>
        <v>83878.265625000015</v>
      </c>
      <c r="U9" s="194">
        <f t="shared" si="6"/>
        <v>75761.014112903242</v>
      </c>
      <c r="V9" s="194">
        <f t="shared" si="6"/>
        <v>78286.38125000002</v>
      </c>
      <c r="W9" s="194">
        <f t="shared" si="6"/>
        <v>75761.014112903242</v>
      </c>
      <c r="X9" s="194">
        <f t="shared" si="6"/>
        <v>78286.38125000002</v>
      </c>
      <c r="Y9" s="194">
        <f t="shared" si="6"/>
        <v>75761.014112903242</v>
      </c>
      <c r="Z9" s="194">
        <f t="shared" si="6"/>
        <v>75761.014112903242</v>
      </c>
      <c r="AA9" s="194">
        <f t="shared" si="6"/>
        <v>78286.38125000002</v>
      </c>
      <c r="AB9" s="194">
        <f t="shared" si="6"/>
        <v>75761.014112903242</v>
      </c>
      <c r="AC9" s="194">
        <f t="shared" si="6"/>
        <v>78286.38125000002</v>
      </c>
      <c r="AD9" s="194">
        <f t="shared" si="6"/>
        <v>75761.014112903242</v>
      </c>
      <c r="AE9" s="194">
        <f t="shared" si="6"/>
        <v>79549.064818548402</v>
      </c>
      <c r="AF9" s="194">
        <f t="shared" si="6"/>
        <v>85035.2072198276</v>
      </c>
      <c r="AG9" s="194">
        <f t="shared" si="6"/>
        <v>79549.064818548402</v>
      </c>
      <c r="AH9" s="194">
        <f t="shared" si="6"/>
        <v>54207.398437500007</v>
      </c>
      <c r="AI9" s="194">
        <f t="shared" si="6"/>
        <v>52458.772681451621</v>
      </c>
      <c r="AJ9" s="194">
        <f t="shared" si="6"/>
        <v>54207.398437500007</v>
      </c>
      <c r="AK9" s="194">
        <f t="shared" si="6"/>
        <v>53240.708165322591</v>
      </c>
      <c r="AL9" s="194">
        <f t="shared" si="6"/>
        <v>54100.837197580651</v>
      </c>
      <c r="AM9" s="194">
        <f t="shared" si="6"/>
        <v>56752.598437500012</v>
      </c>
      <c r="AN9" s="194">
        <f t="shared" si="6"/>
        <v>55742.901713709689</v>
      </c>
      <c r="AO9" s="194">
        <f t="shared" si="6"/>
        <v>58449.398437500007</v>
      </c>
      <c r="AP9" s="194">
        <f t="shared" si="6"/>
        <v>56563.933971774204</v>
      </c>
      <c r="AQ9" s="194">
        <f t="shared" si="6"/>
        <v>59186.872605846787</v>
      </c>
      <c r="AR9" s="194">
        <f t="shared" si="6"/>
        <v>65528.323242187515</v>
      </c>
      <c r="AS9" s="194">
        <f t="shared" si="6"/>
        <v>59186.872605846787</v>
      </c>
      <c r="AT9" s="194">
        <f t="shared" si="6"/>
        <v>61159.768359375012</v>
      </c>
      <c r="AU9" s="194">
        <f t="shared" si="6"/>
        <v>59186.872605846787</v>
      </c>
      <c r="AV9" s="194">
        <f t="shared" si="6"/>
        <v>61159.768359375012</v>
      </c>
      <c r="AW9" s="194">
        <f t="shared" si="6"/>
        <v>59186.872605846787</v>
      </c>
      <c r="AX9" s="194">
        <f t="shared" si="6"/>
        <v>59392.130670362916</v>
      </c>
      <c r="AY9" s="194">
        <f t="shared" si="6"/>
        <v>61371.86835937501</v>
      </c>
      <c r="AZ9" s="194">
        <f t="shared" si="6"/>
        <v>59392.130670362916</v>
      </c>
      <c r="BA9" s="194">
        <f t="shared" si="6"/>
        <v>61371.86835937501</v>
      </c>
      <c r="BB9" s="194">
        <f t="shared" si="6"/>
        <v>59392.130670362916</v>
      </c>
      <c r="BC9" s="194">
        <f t="shared" si="6"/>
        <v>62146.216236139153</v>
      </c>
      <c r="BD9" s="194">
        <f t="shared" si="6"/>
        <v>68804.739404296924</v>
      </c>
      <c r="BE9" s="194">
        <f t="shared" si="6"/>
        <v>62146.216236139153</v>
      </c>
      <c r="BF9" s="194">
        <f t="shared" si="6"/>
        <v>64217.756777343791</v>
      </c>
      <c r="BG9" s="194">
        <f t="shared" si="6"/>
        <v>62146.216236139153</v>
      </c>
      <c r="BH9" s="194">
        <f t="shared" si="6"/>
        <v>64217.756777343791</v>
      </c>
      <c r="BI9" s="194">
        <f t="shared" si="6"/>
        <v>62146.216236139153</v>
      </c>
      <c r="BJ9" s="194">
        <f t="shared" si="6"/>
        <v>4551.6718056955679</v>
      </c>
      <c r="BK9" s="102"/>
      <c r="BL9" s="194">
        <f t="shared" ref="BL9:BQ15" si="7">SUMIF($C$2:$BJ$2,BL$2,$C9:$BJ9)</f>
        <v>32179.874551971319</v>
      </c>
      <c r="BM9" s="194">
        <f t="shared" si="7"/>
        <v>823096.77486559167</v>
      </c>
      <c r="BN9" s="194">
        <f t="shared" si="7"/>
        <v>927350.8894153228</v>
      </c>
      <c r="BO9" s="194">
        <f t="shared" si="7"/>
        <v>739857.2843367632</v>
      </c>
      <c r="BP9" s="194">
        <f t="shared" si="7"/>
        <v>725515.47911416355</v>
      </c>
      <c r="BQ9" s="194">
        <f t="shared" si="7"/>
        <v>450376.78970923676</v>
      </c>
    </row>
    <row r="10" spans="1:69" ht="15.75" customHeight="1">
      <c r="A10" s="207" t="s">
        <v>207</v>
      </c>
      <c r="B10" s="194"/>
      <c r="C10" s="194">
        <f>C21</f>
        <v>0</v>
      </c>
      <c r="D10" s="194">
        <f t="shared" ref="D10:BJ10" si="8">D21</f>
        <v>0</v>
      </c>
      <c r="E10" s="194">
        <f t="shared" si="8"/>
        <v>9361.1111111111113</v>
      </c>
      <c r="F10" s="194">
        <f t="shared" si="8"/>
        <v>18138.440860215051</v>
      </c>
      <c r="G10" s="194">
        <f t="shared" si="8"/>
        <v>28557.459677419356</v>
      </c>
      <c r="H10" s="194">
        <f t="shared" si="8"/>
        <v>42148.437500000007</v>
      </c>
      <c r="I10" s="194">
        <f t="shared" si="8"/>
        <v>47581.653225806462</v>
      </c>
      <c r="J10" s="194">
        <f t="shared" si="8"/>
        <v>49167.708333333343</v>
      </c>
      <c r="K10" s="194">
        <f t="shared" si="8"/>
        <v>47581.653225806462</v>
      </c>
      <c r="L10" s="194">
        <f t="shared" si="8"/>
        <v>49167.708333333343</v>
      </c>
      <c r="M10" s="194">
        <f t="shared" si="8"/>
        <v>47581.653225806462</v>
      </c>
      <c r="N10" s="194">
        <f t="shared" si="8"/>
        <v>47581.653225806462</v>
      </c>
      <c r="O10" s="194">
        <f t="shared" si="8"/>
        <v>49167.708333333343</v>
      </c>
      <c r="P10" s="194">
        <f t="shared" si="8"/>
        <v>47581.653225806462</v>
      </c>
      <c r="Q10" s="194">
        <f t="shared" si="8"/>
        <v>49167.708333333343</v>
      </c>
      <c r="R10" s="194">
        <f t="shared" si="8"/>
        <v>47581.653225806462</v>
      </c>
      <c r="S10" s="194">
        <f t="shared" si="8"/>
        <v>49960.73588709678</v>
      </c>
      <c r="T10" s="194">
        <f t="shared" si="8"/>
        <v>55313.671875000007</v>
      </c>
      <c r="U10" s="194">
        <f t="shared" si="8"/>
        <v>49960.73588709678</v>
      </c>
      <c r="V10" s="194">
        <f t="shared" si="8"/>
        <v>51626.093750000007</v>
      </c>
      <c r="W10" s="194">
        <f t="shared" si="8"/>
        <v>49960.73588709678</v>
      </c>
      <c r="X10" s="194">
        <f t="shared" si="8"/>
        <v>51626.093750000007</v>
      </c>
      <c r="Y10" s="194">
        <f t="shared" si="8"/>
        <v>49960.73588709678</v>
      </c>
      <c r="Z10" s="194">
        <f t="shared" si="8"/>
        <v>49960.73588709678</v>
      </c>
      <c r="AA10" s="194">
        <f t="shared" si="8"/>
        <v>51626.093750000007</v>
      </c>
      <c r="AB10" s="194">
        <f t="shared" si="8"/>
        <v>49960.73588709678</v>
      </c>
      <c r="AC10" s="194">
        <f t="shared" si="8"/>
        <v>51626.093750000007</v>
      </c>
      <c r="AD10" s="194">
        <f t="shared" si="8"/>
        <v>49960.73588709678</v>
      </c>
      <c r="AE10" s="194">
        <f t="shared" si="8"/>
        <v>52458.772681451621</v>
      </c>
      <c r="AF10" s="194">
        <f t="shared" si="8"/>
        <v>56076.61907327587</v>
      </c>
      <c r="AG10" s="194">
        <f t="shared" si="8"/>
        <v>52458.772681451621</v>
      </c>
      <c r="AH10" s="194">
        <f t="shared" si="8"/>
        <v>54207.398437500007</v>
      </c>
      <c r="AI10" s="194">
        <f t="shared" si="8"/>
        <v>52458.772681451621</v>
      </c>
      <c r="AJ10" s="194">
        <f t="shared" si="8"/>
        <v>54207.398437500007</v>
      </c>
      <c r="AK10" s="194">
        <f t="shared" si="8"/>
        <v>52458.772681451621</v>
      </c>
      <c r="AL10" s="194">
        <f t="shared" si="8"/>
        <v>52458.772681451621</v>
      </c>
      <c r="AM10" s="194">
        <f t="shared" si="8"/>
        <v>54207.398437500007</v>
      </c>
      <c r="AN10" s="194">
        <f t="shared" si="8"/>
        <v>52458.772681451621</v>
      </c>
      <c r="AO10" s="194">
        <f t="shared" si="8"/>
        <v>54207.398437500007</v>
      </c>
      <c r="AP10" s="194">
        <f t="shared" si="8"/>
        <v>52458.772681451621</v>
      </c>
      <c r="AQ10" s="194">
        <f t="shared" si="8"/>
        <v>55081.711315524204</v>
      </c>
      <c r="AR10" s="194">
        <f t="shared" si="8"/>
        <v>60983.323242187515</v>
      </c>
      <c r="AS10" s="194">
        <f t="shared" si="8"/>
        <v>55081.711315524204</v>
      </c>
      <c r="AT10" s="194">
        <f t="shared" si="8"/>
        <v>56917.768359375012</v>
      </c>
      <c r="AU10" s="194">
        <f t="shared" si="8"/>
        <v>55081.711315524204</v>
      </c>
      <c r="AV10" s="194">
        <f t="shared" si="8"/>
        <v>56917.768359375012</v>
      </c>
      <c r="AW10" s="194">
        <f t="shared" si="8"/>
        <v>55081.711315524204</v>
      </c>
      <c r="AX10" s="194">
        <f t="shared" si="8"/>
        <v>55081.711315524204</v>
      </c>
      <c r="AY10" s="194">
        <f t="shared" si="8"/>
        <v>56917.768359375012</v>
      </c>
      <c r="AZ10" s="194">
        <f t="shared" si="8"/>
        <v>55081.711315524204</v>
      </c>
      <c r="BA10" s="194">
        <f t="shared" si="8"/>
        <v>56917.768359375012</v>
      </c>
      <c r="BB10" s="194">
        <f t="shared" si="8"/>
        <v>55081.711315524204</v>
      </c>
      <c r="BC10" s="194">
        <f t="shared" si="8"/>
        <v>57835.796881300441</v>
      </c>
      <c r="BD10" s="194">
        <f t="shared" si="8"/>
        <v>64032.489404296917</v>
      </c>
      <c r="BE10" s="194">
        <f t="shared" si="8"/>
        <v>57835.796881300441</v>
      </c>
      <c r="BF10" s="194">
        <f t="shared" si="8"/>
        <v>59763.656777343793</v>
      </c>
      <c r="BG10" s="194">
        <f t="shared" si="8"/>
        <v>57835.796881300441</v>
      </c>
      <c r="BH10" s="194">
        <f t="shared" si="8"/>
        <v>59763.656777343793</v>
      </c>
      <c r="BI10" s="194">
        <f t="shared" si="8"/>
        <v>57835.796881300441</v>
      </c>
      <c r="BJ10" s="194">
        <f t="shared" si="8"/>
        <v>25.731483114919364</v>
      </c>
      <c r="BK10" s="209"/>
      <c r="BL10" s="194">
        <f t="shared" si="7"/>
        <v>27499.55197132616</v>
      </c>
      <c r="BM10" s="194">
        <f t="shared" si="7"/>
        <v>552866.64986559155</v>
      </c>
      <c r="BN10" s="194">
        <f t="shared" si="7"/>
        <v>611543.19808467745</v>
      </c>
      <c r="BO10" s="194">
        <f t="shared" si="7"/>
        <v>640117.62159343727</v>
      </c>
      <c r="BP10" s="194">
        <f t="shared" si="7"/>
        <v>674226.37588835682</v>
      </c>
      <c r="BQ10" s="194">
        <f t="shared" si="7"/>
        <v>414928.72196730122</v>
      </c>
    </row>
    <row r="11" spans="1:69" ht="15.75" customHeight="1">
      <c r="A11" s="207" t="s">
        <v>208</v>
      </c>
      <c r="B11" s="194"/>
      <c r="C11" s="194">
        <f>C26</f>
        <v>0</v>
      </c>
      <c r="D11" s="194">
        <f t="shared" ref="D11:BJ11" si="9">D26</f>
        <v>0</v>
      </c>
      <c r="E11" s="194">
        <f t="shared" si="9"/>
        <v>0</v>
      </c>
      <c r="F11" s="194">
        <f t="shared" si="9"/>
        <v>4680.322580645161</v>
      </c>
      <c r="G11" s="194">
        <f t="shared" si="9"/>
        <v>9828.677419354839</v>
      </c>
      <c r="H11" s="194">
        <f t="shared" si="9"/>
        <v>16322.625000000004</v>
      </c>
      <c r="I11" s="194">
        <f t="shared" si="9"/>
        <v>19657.354838709678</v>
      </c>
      <c r="J11" s="194">
        <f t="shared" si="9"/>
        <v>25390.750000000004</v>
      </c>
      <c r="K11" s="194">
        <f t="shared" si="9"/>
        <v>24571.693548387102</v>
      </c>
      <c r="L11" s="194">
        <f t="shared" si="9"/>
        <v>25390.750000000004</v>
      </c>
      <c r="M11" s="194">
        <f t="shared" si="9"/>
        <v>24571.693548387102</v>
      </c>
      <c r="N11" s="194">
        <f t="shared" si="9"/>
        <v>24571.693548387102</v>
      </c>
      <c r="O11" s="194">
        <f t="shared" si="9"/>
        <v>25390.750000000004</v>
      </c>
      <c r="P11" s="194">
        <f t="shared" si="9"/>
        <v>24571.693548387102</v>
      </c>
      <c r="Q11" s="194">
        <f t="shared" si="9"/>
        <v>25390.750000000004</v>
      </c>
      <c r="R11" s="194">
        <f t="shared" si="9"/>
        <v>24571.693548387102</v>
      </c>
      <c r="S11" s="194">
        <f t="shared" si="9"/>
        <v>25800.278225806458</v>
      </c>
      <c r="T11" s="194">
        <f t="shared" si="9"/>
        <v>28564.593750000007</v>
      </c>
      <c r="U11" s="194">
        <f t="shared" si="9"/>
        <v>25800.278225806458</v>
      </c>
      <c r="V11" s="194">
        <f t="shared" si="9"/>
        <v>26660.287500000009</v>
      </c>
      <c r="W11" s="194">
        <f t="shared" si="9"/>
        <v>25800.278225806458</v>
      </c>
      <c r="X11" s="194">
        <f t="shared" si="9"/>
        <v>26660.287500000009</v>
      </c>
      <c r="Y11" s="194">
        <f t="shared" si="9"/>
        <v>25800.278225806458</v>
      </c>
      <c r="Z11" s="194">
        <f t="shared" si="9"/>
        <v>25800.278225806458</v>
      </c>
      <c r="AA11" s="194">
        <f t="shared" si="9"/>
        <v>26660.287500000009</v>
      </c>
      <c r="AB11" s="194">
        <f t="shared" si="9"/>
        <v>25800.278225806458</v>
      </c>
      <c r="AC11" s="194">
        <f t="shared" si="9"/>
        <v>26660.287500000009</v>
      </c>
      <c r="AD11" s="194">
        <f t="shared" si="9"/>
        <v>25800.278225806458</v>
      </c>
      <c r="AE11" s="194">
        <f t="shared" si="9"/>
        <v>27090.292137096778</v>
      </c>
      <c r="AF11" s="194">
        <f t="shared" si="9"/>
        <v>28958.58814655173</v>
      </c>
      <c r="AG11" s="194">
        <f t="shared" si="9"/>
        <v>27090.292137096778</v>
      </c>
      <c r="AH11" s="194">
        <f t="shared" si="9"/>
        <v>0</v>
      </c>
      <c r="AI11" s="194">
        <f t="shared" si="9"/>
        <v>0</v>
      </c>
      <c r="AJ11" s="194">
        <f t="shared" si="9"/>
        <v>0</v>
      </c>
      <c r="AK11" s="194">
        <f t="shared" si="9"/>
        <v>781.93548387096803</v>
      </c>
      <c r="AL11" s="194">
        <f t="shared" si="9"/>
        <v>1642.0645161290327</v>
      </c>
      <c r="AM11" s="194">
        <f t="shared" si="9"/>
        <v>2545.2000000000012</v>
      </c>
      <c r="AN11" s="194">
        <f t="shared" si="9"/>
        <v>3284.1290322580653</v>
      </c>
      <c r="AO11" s="194">
        <f t="shared" si="9"/>
        <v>4242.0000000000018</v>
      </c>
      <c r="AP11" s="194">
        <f t="shared" si="9"/>
        <v>4105.1612903225823</v>
      </c>
      <c r="AQ11" s="194">
        <f t="shared" si="9"/>
        <v>4105.1612903225823</v>
      </c>
      <c r="AR11" s="194">
        <f t="shared" si="9"/>
        <v>4545.0000000000018</v>
      </c>
      <c r="AS11" s="194">
        <f t="shared" si="9"/>
        <v>4105.1612903225823</v>
      </c>
      <c r="AT11" s="194">
        <f t="shared" si="9"/>
        <v>4242.0000000000018</v>
      </c>
      <c r="AU11" s="194">
        <f t="shared" si="9"/>
        <v>4105.1612903225823</v>
      </c>
      <c r="AV11" s="194">
        <f t="shared" si="9"/>
        <v>4242.0000000000018</v>
      </c>
      <c r="AW11" s="194">
        <f t="shared" si="9"/>
        <v>4105.1612903225823</v>
      </c>
      <c r="AX11" s="194">
        <f t="shared" si="9"/>
        <v>4310.4193548387102</v>
      </c>
      <c r="AY11" s="194">
        <f t="shared" si="9"/>
        <v>4454.1000000000013</v>
      </c>
      <c r="AZ11" s="194">
        <f t="shared" si="9"/>
        <v>4310.4193548387102</v>
      </c>
      <c r="BA11" s="194">
        <f t="shared" si="9"/>
        <v>4454.1000000000013</v>
      </c>
      <c r="BB11" s="194">
        <f t="shared" si="9"/>
        <v>4310.4193548387102</v>
      </c>
      <c r="BC11" s="194">
        <f t="shared" si="9"/>
        <v>4310.4193548387102</v>
      </c>
      <c r="BD11" s="194">
        <f t="shared" si="9"/>
        <v>4772.2500000000009</v>
      </c>
      <c r="BE11" s="194">
        <f t="shared" si="9"/>
        <v>4310.4193548387102</v>
      </c>
      <c r="BF11" s="194">
        <f t="shared" si="9"/>
        <v>4454.1000000000013</v>
      </c>
      <c r="BG11" s="194">
        <f t="shared" si="9"/>
        <v>4310.4193548387102</v>
      </c>
      <c r="BH11" s="194">
        <f t="shared" si="9"/>
        <v>4454.1000000000013</v>
      </c>
      <c r="BI11" s="194">
        <f t="shared" si="9"/>
        <v>4310.4193548387102</v>
      </c>
      <c r="BJ11" s="194">
        <f t="shared" si="9"/>
        <v>4525.9403225806482</v>
      </c>
      <c r="BK11" s="209"/>
      <c r="BL11" s="194">
        <f t="shared" si="7"/>
        <v>4680.322580645161</v>
      </c>
      <c r="BM11" s="194">
        <f t="shared" si="7"/>
        <v>270230.125</v>
      </c>
      <c r="BN11" s="194">
        <f t="shared" si="7"/>
        <v>315807.69133064529</v>
      </c>
      <c r="BO11" s="194">
        <f t="shared" si="7"/>
        <v>99739.662743325927</v>
      </c>
      <c r="BP11" s="194">
        <f t="shared" si="7"/>
        <v>51289.103225806466</v>
      </c>
      <c r="BQ11" s="194">
        <f t="shared" si="7"/>
        <v>35448.067741935491</v>
      </c>
    </row>
    <row r="12" spans="1:69" ht="15.75" customHeight="1">
      <c r="A12" s="207" t="s">
        <v>209</v>
      </c>
      <c r="B12" s="194"/>
      <c r="C12" s="208">
        <v>0</v>
      </c>
      <c r="D12" s="208">
        <v>0</v>
      </c>
      <c r="E12" s="208">
        <v>0</v>
      </c>
      <c r="F12" s="208">
        <v>0</v>
      </c>
      <c r="G12" s="208">
        <v>0</v>
      </c>
      <c r="H12" s="208">
        <v>0</v>
      </c>
      <c r="I12" s="208">
        <v>0</v>
      </c>
      <c r="J12" s="208">
        <v>0</v>
      </c>
      <c r="K12" s="208">
        <v>0</v>
      </c>
      <c r="L12" s="208">
        <v>0</v>
      </c>
      <c r="M12" s="208">
        <v>0</v>
      </c>
      <c r="N12" s="208">
        <v>0</v>
      </c>
      <c r="O12" s="208">
        <v>0</v>
      </c>
      <c r="P12" s="208">
        <v>0</v>
      </c>
      <c r="Q12" s="208">
        <v>0</v>
      </c>
      <c r="R12" s="208">
        <v>0</v>
      </c>
      <c r="S12" s="208">
        <v>0</v>
      </c>
      <c r="T12" s="208">
        <v>0</v>
      </c>
      <c r="U12" s="208">
        <v>0</v>
      </c>
      <c r="V12" s="208">
        <v>0</v>
      </c>
      <c r="W12" s="208">
        <v>0</v>
      </c>
      <c r="X12" s="208">
        <v>0</v>
      </c>
      <c r="Y12" s="208">
        <v>0</v>
      </c>
      <c r="Z12" s="208">
        <v>0</v>
      </c>
      <c r="AA12" s="208">
        <v>0</v>
      </c>
      <c r="AB12" s="208">
        <v>0</v>
      </c>
      <c r="AC12" s="208">
        <v>0</v>
      </c>
      <c r="AD12" s="208">
        <v>0</v>
      </c>
      <c r="AE12" s="208">
        <v>0</v>
      </c>
      <c r="AF12" s="208">
        <v>0</v>
      </c>
      <c r="AG12" s="208">
        <v>0</v>
      </c>
      <c r="AH12" s="208">
        <v>0</v>
      </c>
      <c r="AI12" s="208">
        <v>0</v>
      </c>
      <c r="AJ12" s="208">
        <v>0</v>
      </c>
      <c r="AK12" s="208">
        <v>0</v>
      </c>
      <c r="AL12" s="208">
        <v>0</v>
      </c>
      <c r="AM12" s="208">
        <v>0</v>
      </c>
      <c r="AN12" s="208">
        <v>0</v>
      </c>
      <c r="AO12" s="208">
        <v>0</v>
      </c>
      <c r="AP12" s="208">
        <v>0</v>
      </c>
      <c r="AQ12" s="208">
        <v>0</v>
      </c>
      <c r="AR12" s="208">
        <v>0</v>
      </c>
      <c r="AS12" s="208">
        <v>0</v>
      </c>
      <c r="AT12" s="208">
        <v>0</v>
      </c>
      <c r="AU12" s="208">
        <v>0</v>
      </c>
      <c r="AV12" s="208">
        <v>0</v>
      </c>
      <c r="AW12" s="208">
        <v>0</v>
      </c>
      <c r="AX12" s="208">
        <v>0</v>
      </c>
      <c r="AY12" s="208">
        <v>0</v>
      </c>
      <c r="AZ12" s="208">
        <v>0</v>
      </c>
      <c r="BA12" s="208">
        <v>0</v>
      </c>
      <c r="BB12" s="208">
        <v>0</v>
      </c>
      <c r="BC12" s="208">
        <v>0</v>
      </c>
      <c r="BD12" s="208">
        <v>0</v>
      </c>
      <c r="BE12" s="208">
        <v>0</v>
      </c>
      <c r="BF12" s="208">
        <v>0</v>
      </c>
      <c r="BG12" s="208">
        <v>0</v>
      </c>
      <c r="BH12" s="208">
        <v>0</v>
      </c>
      <c r="BI12" s="208">
        <v>0</v>
      </c>
      <c r="BJ12" s="208">
        <v>0</v>
      </c>
      <c r="BK12" s="102"/>
      <c r="BL12" s="208">
        <f t="shared" si="7"/>
        <v>0</v>
      </c>
      <c r="BM12" s="208">
        <f t="shared" si="7"/>
        <v>0</v>
      </c>
      <c r="BN12" s="208">
        <f t="shared" si="7"/>
        <v>0</v>
      </c>
      <c r="BO12" s="208">
        <f t="shared" si="7"/>
        <v>0</v>
      </c>
      <c r="BP12" s="208">
        <f t="shared" si="7"/>
        <v>0</v>
      </c>
      <c r="BQ12" s="208">
        <f t="shared" si="7"/>
        <v>0</v>
      </c>
    </row>
    <row r="13" spans="1:69" ht="15.75" customHeight="1">
      <c r="A13" s="207" t="s">
        <v>197</v>
      </c>
      <c r="B13" s="194"/>
      <c r="C13" s="194">
        <f>Выручка!B$19*СОК!$B38/СОК!C$4</f>
        <v>0</v>
      </c>
      <c r="D13" s="194">
        <f>Выручка!C$19*СОК!$B38/СОК!D$4</f>
        <v>0</v>
      </c>
      <c r="E13" s="194">
        <f>Выручка!D$19*СОК!$B38/СОК!E$4</f>
        <v>0</v>
      </c>
      <c r="F13" s="194">
        <f>Выручка!E$19*СОК!$B38/СОК!F$4</f>
        <v>21841.505376344088</v>
      </c>
      <c r="G13" s="194">
        <f>Выручка!F$19*СОК!$B38/СОК!G$4</f>
        <v>45867.161290322583</v>
      </c>
      <c r="H13" s="194">
        <f>Выручка!G$19*СОК!$B38/СОК!H$4</f>
        <v>76172.250000000015</v>
      </c>
      <c r="I13" s="194">
        <f>Выручка!H$19*СОК!$B38/СОК!I$4</f>
        <v>91734.322580645166</v>
      </c>
      <c r="J13" s="194">
        <f>Выручка!I$19*СОК!$B38/СОК!J$4</f>
        <v>118490.16666666669</v>
      </c>
      <c r="K13" s="194">
        <f>Выручка!J$19*СОК!$B38/СОК!K$4</f>
        <v>114667.90322580647</v>
      </c>
      <c r="L13" s="194">
        <f>Выручка!K$19*СОК!$B38/СОК!L$4</f>
        <v>118490.16666666669</v>
      </c>
      <c r="M13" s="194">
        <f>Выручка!L$19*СОК!$B38/СОК!M$4</f>
        <v>114667.90322580647</v>
      </c>
      <c r="N13" s="194">
        <f>Выручка!M$19*СОК!$B38/СОК!N$4</f>
        <v>114667.90322580647</v>
      </c>
      <c r="O13" s="194">
        <f>Выручка!N$19*СОК!$B38/СОК!O$4</f>
        <v>118490.16666666669</v>
      </c>
      <c r="P13" s="194">
        <f>Выручка!O$19*СОК!$B38/СОК!P$4</f>
        <v>114667.90322580647</v>
      </c>
      <c r="Q13" s="194">
        <f>Выручка!P$19*СОК!$B38/СОК!Q$4</f>
        <v>118490.16666666669</v>
      </c>
      <c r="R13" s="194">
        <f>Выручка!Q$19*СОК!$B38/СОК!R$4</f>
        <v>114667.90322580647</v>
      </c>
      <c r="S13" s="194">
        <f>Выручка!R$19*СОК!$B38/СОК!S$4</f>
        <v>120401.2983870968</v>
      </c>
      <c r="T13" s="194">
        <f>Выручка!S$19*СОК!$B38/СОК!T$4</f>
        <v>133301.43750000003</v>
      </c>
      <c r="U13" s="194">
        <f>Выручка!T$19*СОК!$B38/СОК!U$4</f>
        <v>120401.2983870968</v>
      </c>
      <c r="V13" s="194">
        <f>Выручка!U$19*СОК!$B38/СОК!V$4</f>
        <v>124414.67500000003</v>
      </c>
      <c r="W13" s="194">
        <f>Выручка!V$19*СОК!$B38/СОК!W$4</f>
        <v>120401.2983870968</v>
      </c>
      <c r="X13" s="194">
        <f>Выручка!W$19*СОК!$B38/СОК!X$4</f>
        <v>124414.67500000003</v>
      </c>
      <c r="Y13" s="194">
        <f>Выручка!X$19*СОК!$B38/СОК!Y$4</f>
        <v>120401.2983870968</v>
      </c>
      <c r="Z13" s="194">
        <f>Выручка!Y$19*СОК!$B38/СОК!Z$4</f>
        <v>120401.2983870968</v>
      </c>
      <c r="AA13" s="194">
        <f>Выручка!Z$19*СОК!$B38/СОК!AA$4</f>
        <v>124414.67500000003</v>
      </c>
      <c r="AB13" s="194">
        <f>Выручка!AA$19*СОК!$B38/СОК!AB$4</f>
        <v>120401.2983870968</v>
      </c>
      <c r="AC13" s="194">
        <f>Выручка!AB$19*СОК!$B38/СОК!AC$4</f>
        <v>124414.67500000003</v>
      </c>
      <c r="AD13" s="194">
        <f>Выручка!AC$19*СОК!$B38/СОК!AD$4</f>
        <v>120401.2983870968</v>
      </c>
      <c r="AE13" s="194">
        <f>Выручка!AD$19*СОК!$B38/СОК!AE$4</f>
        <v>126421.36330645163</v>
      </c>
      <c r="AF13" s="194">
        <f>Выручка!AE$19*СОК!$B38/СОК!AF$4</f>
        <v>135140.07801724141</v>
      </c>
      <c r="AG13" s="194">
        <f>Выручка!AF$19*СОК!$B38/СОК!AG$4</f>
        <v>126421.36330645163</v>
      </c>
      <c r="AH13" s="194">
        <f>Выручка!AG$19*СОК!$B38/СОК!AH$4</f>
        <v>130635.40875000002</v>
      </c>
      <c r="AI13" s="194">
        <f>Выручка!AH$19*СОК!$B38/СОК!AI$4</f>
        <v>126421.36330645163</v>
      </c>
      <c r="AJ13" s="194">
        <f>Выручка!AI$19*СОК!$B38/СОК!AJ$4</f>
        <v>130635.40875000002</v>
      </c>
      <c r="AK13" s="194">
        <f>Выручка!AJ$19*СОК!$B38/СОК!AK$4</f>
        <v>126421.36330645163</v>
      </c>
      <c r="AL13" s="194">
        <f>Выручка!AK$19*СОК!$B38/СОК!AL$4</f>
        <v>126421.36330645163</v>
      </c>
      <c r="AM13" s="194">
        <f>Выручка!AL$19*СОК!$B38/СОК!AM$4</f>
        <v>130635.40875000002</v>
      </c>
      <c r="AN13" s="194">
        <f>Выручка!AM$19*СОК!$B38/СОК!AN$4</f>
        <v>126421.36330645163</v>
      </c>
      <c r="AO13" s="194">
        <f>Выручка!AN$19*СОК!$B38/СОК!AO$4</f>
        <v>130635.40875000002</v>
      </c>
      <c r="AP13" s="194">
        <f>Выручка!AO$19*СОК!$B38/СОК!AP$4</f>
        <v>126421.36330645163</v>
      </c>
      <c r="AQ13" s="194">
        <f>Выручка!AP$19*СОК!$B38/СОК!AQ$4</f>
        <v>132742.43147177424</v>
      </c>
      <c r="AR13" s="194">
        <f>Выручка!AQ$19*СОК!$B38/СОК!AR$4</f>
        <v>146964.83484375005</v>
      </c>
      <c r="AS13" s="194">
        <f>Выручка!AR$19*СОК!$B38/СОК!AS$4</f>
        <v>132742.43147177424</v>
      </c>
      <c r="AT13" s="194">
        <f>Выручка!AS$19*СОК!$B38/СОК!AT$4</f>
        <v>137167.17918750003</v>
      </c>
      <c r="AU13" s="194">
        <f>Выручка!AT$19*СОК!$B38/СОК!AU$4</f>
        <v>132742.43147177424</v>
      </c>
      <c r="AV13" s="194">
        <f>Выручка!AU$19*СОК!$B38/СОК!AV$4</f>
        <v>137167.17918750003</v>
      </c>
      <c r="AW13" s="194">
        <f>Выручка!AV$19*СОК!$B38/СОК!AW$4</f>
        <v>132742.43147177424</v>
      </c>
      <c r="AX13" s="194">
        <f>Выручка!AW$19*СОК!$B38/СОК!AX$4</f>
        <v>132742.43147177424</v>
      </c>
      <c r="AY13" s="194">
        <f>Выручка!AX$19*СОК!$B38/СОК!AY$4</f>
        <v>137167.17918750003</v>
      </c>
      <c r="AZ13" s="194">
        <f>Выручка!AY$19*СОК!$B38/СОК!AZ$4</f>
        <v>132742.43147177424</v>
      </c>
      <c r="BA13" s="194">
        <f>Выручка!AZ$19*СОК!$B38/СОК!BA$4</f>
        <v>137167.17918750003</v>
      </c>
      <c r="BB13" s="194">
        <f>Выручка!BA$19*СОК!$B38/СОК!BB$4</f>
        <v>132742.43147177424</v>
      </c>
      <c r="BC13" s="194">
        <f>Выручка!BB$19*СОК!$B38/СОК!BC$4</f>
        <v>139379.55304536299</v>
      </c>
      <c r="BD13" s="194">
        <f>Выручка!BC$19*СОК!$B38/СОК!BD$4</f>
        <v>154313.07658593758</v>
      </c>
      <c r="BE13" s="194">
        <f>Выручка!BD$19*СОК!$B38/СОК!BE$4</f>
        <v>139379.55304536299</v>
      </c>
      <c r="BF13" s="194">
        <f>Выручка!BE$19*СОК!$B38/СОК!BF$4</f>
        <v>144025.53814687507</v>
      </c>
      <c r="BG13" s="194">
        <f>Выручка!BF$19*СОК!$B38/СОК!BG$4</f>
        <v>139379.55304536299</v>
      </c>
      <c r="BH13" s="194">
        <f>Выручка!BG$19*СОК!$B38/СОК!BH$4</f>
        <v>144025.53814687507</v>
      </c>
      <c r="BI13" s="194">
        <f>Выручка!BH$19*СОК!$B38/СОК!BI$4</f>
        <v>139379.55304536299</v>
      </c>
      <c r="BJ13" s="194">
        <f>Выручка!BI$19*СОК!$B38/СОК!BJ$4</f>
        <v>139379.55304536299</v>
      </c>
      <c r="BK13" s="102"/>
      <c r="BL13" s="194">
        <f t="shared" si="7"/>
        <v>21841.505376344088</v>
      </c>
      <c r="BM13" s="194">
        <f t="shared" si="7"/>
        <v>1261073.9166666667</v>
      </c>
      <c r="BN13" s="194">
        <f t="shared" si="7"/>
        <v>1473769.2262096778</v>
      </c>
      <c r="BO13" s="194">
        <f t="shared" si="7"/>
        <v>1542631.2561624027</v>
      </c>
      <c r="BP13" s="194">
        <f t="shared" si="7"/>
        <v>1624830.5718961698</v>
      </c>
      <c r="BQ13" s="194">
        <f t="shared" si="7"/>
        <v>1139261.9181065026</v>
      </c>
    </row>
    <row r="14" spans="1:69" ht="15.75" customHeight="1">
      <c r="A14" s="207" t="s">
        <v>205</v>
      </c>
      <c r="B14" s="194"/>
      <c r="C14" s="194">
        <f>(Затраты!C64-Затраты!C57-Затраты!C56-Затраты!C63+(-Налоги!D$21)+Налоги!D$26)*СОК!$B39/СОК!C$4+СОК!C30</f>
        <v>872.34289999999987</v>
      </c>
      <c r="D14" s="194">
        <f>(Затраты!D64-Затраты!D57-Затраты!D56-Затраты!D63+(-Налоги!E$21)+Налоги!E$26)*СОК!$B39/СОК!D$4+СОК!D30</f>
        <v>844.20280645161279</v>
      </c>
      <c r="E14" s="194">
        <f>(Затраты!E64-Затраты!E57-Затраты!E56-Затраты!E63+(-Налоги!F$21)+Налоги!F$26)*СОК!$B39/СОК!E$4+СОК!E30</f>
        <v>29798.176233333332</v>
      </c>
      <c r="F14" s="194">
        <f>(Затраты!F64-Затраты!F57-Затраты!F56-Затраты!F63+(-Налоги!G$21)+Налоги!G$26)*СОК!$B39/СОК!F$4+СОК!F30</f>
        <v>62412.672479166678</v>
      </c>
      <c r="G14" s="194">
        <f>(Затраты!G64-Затраты!G57-Затраты!G56-Затраты!G63+(-Налоги!H$21)+Налоги!H$26)*СОК!$B39/СОК!G$4+СОК!G30</f>
        <v>94820.679794327982</v>
      </c>
      <c r="H14" s="194">
        <f>(Затраты!H64-Затраты!H57-Затраты!H56-Затраты!H63+(-Налоги!I$21)+Налоги!I$26)*СОК!$B39/СОК!H$4+СОК!H30</f>
        <v>137521.60084372025</v>
      </c>
      <c r="I14" s="194">
        <f>(Затраты!I64-Затраты!I57-Затраты!I56-Затраты!I63+(-Налоги!J$21)+Налоги!J$26)*СОК!$B39/СОК!I$4+СОК!I30</f>
        <v>153605.43785884415</v>
      </c>
      <c r="J14" s="194">
        <f>(Затраты!J64-Затраты!J57-Затраты!J56-Затраты!J63+(-Налоги!K$21)+Налоги!K$26)*СОК!$B39/СОК!J$4+СОК!J30</f>
        <v>175659.5083093023</v>
      </c>
      <c r="K14" s="194">
        <f>(Затраты!K64-Затраты!K57-Затраты!K56-Затраты!K63+(-Налоги!L$21)+Налоги!L$26)*СОК!$B39/СОК!K$4+СОК!K30</f>
        <v>193916.09363169991</v>
      </c>
      <c r="L14" s="194">
        <f>(Затраты!L64-Затраты!L57-Затраты!L56-Затраты!L63+(-Налоги!M$21)+Налоги!M$26)*СОК!$B39/СОК!L$4+СОК!L30</f>
        <v>200387.81154420754</v>
      </c>
      <c r="M14" s="194">
        <f>(Затраты!M64-Затраты!M57-Затраты!M56-Затраты!M63+(-Налоги!N$21)+Налоги!N$26)*СОК!$B39/СОК!M$4+СОК!M30</f>
        <v>193931.44177895947</v>
      </c>
      <c r="N14" s="194">
        <f>(Затраты!N64-Затраты!N57-Затраты!N56-Затраты!N63+(-Налоги!O$21)+Налоги!O$26)*СОК!$B39/СОК!N$4+СОК!N30</f>
        <v>193939.35649149603</v>
      </c>
      <c r="O14" s="194">
        <f>(Затраты!O64-Затраты!O57-Затраты!O56-Затраты!O63+(-Налоги!P$21)+Налоги!P$26)*СОК!$B39/СОК!O$4+СОК!O30</f>
        <v>200412.35063033967</v>
      </c>
      <c r="P14" s="194">
        <f>(Затраты!P64-Затраты!P57-Затраты!P56-Затраты!P63+(-Налоги!Q$21)+Налоги!Q$26)*СОК!$B39/СОК!P$4+СОК!P30</f>
        <v>193955.68402130774</v>
      </c>
      <c r="Q14" s="194">
        <f>(Затраты!Q64-Затраты!Q57-Затраты!Q56-Затраты!Q63+(-Налоги!R$21)+Налоги!R$26)*СОК!$B39/СОК!Q$4+СОК!Q30</f>
        <v>200429.57390657856</v>
      </c>
      <c r="R14" s="194">
        <f>(Затраты!R64-Затраты!R57-Затраты!R56-Затраты!R63+(-Налоги!S$21)+Налоги!S$26)*СОК!$B39/СОК!R$4+СОК!R30</f>
        <v>193972.69895146316</v>
      </c>
      <c r="S14" s="194">
        <f>(Затраты!S64-Затраты!S57-Затраты!S56-Затраты!S63+(-Налоги!T$21)+Налоги!T$26)*СОК!$B39/СОК!S$4+СОК!S30</f>
        <v>203667.21577636083</v>
      </c>
      <c r="T14" s="194">
        <f>(Затраты!T64-Затраты!T57-Затраты!T56-Затраты!T63+(-Налоги!U$21)+Налоги!U$26)*СОК!$B39/СОК!T$4+СОК!T30</f>
        <v>225498.61989670593</v>
      </c>
      <c r="U14" s="194">
        <f>(Затраты!U64-Затраты!U57-Затраты!U56-Затраты!U63+(-Налоги!V$21)+Налоги!V$26)*СОК!$B39/СОК!U$4+СОК!U30</f>
        <v>203685.31644836106</v>
      </c>
      <c r="V14" s="194">
        <f>(Затраты!V64-Затраты!V57-Затраты!V56-Затраты!V63+(-Налоги!W$21)+Налоги!W$26)*СОК!$B39/СОК!V$4+СОК!V30</f>
        <v>210484.47226523689</v>
      </c>
      <c r="W14" s="194">
        <f>(Затраты!W64-Затраты!W57-Затраты!W56-Затраты!W63+(-Налоги!X$21)+Налоги!X$26)*СОК!$B39/СОК!W$4+СОК!W30</f>
        <v>203704.17917122241</v>
      </c>
      <c r="X14" s="194">
        <f>(Затраты!X64-Затраты!X57-Затраты!X56-Затраты!X63+(-Налоги!Y$21)+Налоги!Y$26)*СОК!$B39/СОК!X$4+СОК!X30</f>
        <v>210504.36981803301</v>
      </c>
      <c r="Y14" s="194">
        <f>(Затраты!Y64-Затраты!Y57-Затраты!Y56-Затраты!Y63+(-Налоги!Z$21)+Налоги!Z$26)*СОК!$B39/СОК!Y$4+СОК!Y30</f>
        <v>203723.83602781533</v>
      </c>
      <c r="Z14" s="194">
        <f>(Затраты!Z64-Затраты!Z57-Затраты!Z56-Затраты!Z63+(-Налоги!AA$21)+Налоги!AA$26)*СОК!$B39/СОК!Z$4+СОК!Z30</f>
        <v>203733.9726499544</v>
      </c>
      <c r="AA14" s="194">
        <f>(Затраты!AA64-Затраты!AA57-Затраты!AA56-Затраты!AA63+(-Налоги!AB$21)+Налоги!AB$26)*СОК!$B39/СОК!AA$4+СОК!AA30</f>
        <v>210535.79780011208</v>
      </c>
      <c r="AB14" s="194">
        <f>(Затраты!AB64-Затраты!AB57-Затраты!AB56-Затраты!AB63+(-Налоги!AC$21)+Налоги!AC$26)*СОК!$B39/СОК!AB$4+СОК!AB30</f>
        <v>203754.88383269185</v>
      </c>
      <c r="AC14" s="194">
        <f>(Затраты!AC64-Затраты!AC57-Затраты!AC56-Затраты!AC63+(-Налоги!AD$21)+Налоги!AD$26)*СОК!$B39/СОК!AC$4+СОК!AC30</f>
        <v>210557.8561935692</v>
      </c>
      <c r="AD14" s="194">
        <f>(Затраты!AD64-Затраты!AD57-Затраты!AD56-Затраты!AD63+(-Налоги!AE$21)+Налоги!AE$26)*СОК!$B39/СОК!AD$4+СОК!AD30</f>
        <v>203776.6753907442</v>
      </c>
      <c r="AE14" s="194">
        <f>(Затраты!AE64-Затраты!AE57-Затраты!AE56-Затраты!AE63+(-Налоги!AF$21)+Налоги!AF$26)*СОК!$B39/СОК!AE$4+СОК!AE30</f>
        <v>213956.32842510709</v>
      </c>
      <c r="AF14" s="194">
        <f>(Затраты!AF64-Затраты!AF57-Затраты!AF56-Затраты!AF63+(-Налоги!AG$21)+Налоги!AG$26)*СОК!$B39/СОК!AF$4+СОК!AF30</f>
        <v>228724.19997935442</v>
      </c>
      <c r="AG14" s="194">
        <f>(Затраты!AG64-Затраты!AG57-Затраты!AG56-Затраты!AG63+(-Налоги!AH$21)+Налоги!AH$26)*СОК!$B39/СОК!AG$4+СОК!AG30</f>
        <v>213979.51052700687</v>
      </c>
      <c r="AH14" s="194">
        <f>(Затраты!AH64-Затраты!AH57-Затраты!AH56-Затраты!AH63+(-Налоги!AI$21)+Налоги!AI$26)*СОК!$B39/СОК!AH$4+СОК!AH30</f>
        <v>221124.5138778105</v>
      </c>
      <c r="AI14" s="194">
        <f>(Затраты!AI64-Затраты!AI57-Затраты!AI56-Затраты!AI63+(-Налоги!AJ$21)+Налоги!AJ$26)*СОК!$B39/СОК!AI$4+СОК!AI30</f>
        <v>214003.66861149535</v>
      </c>
      <c r="AJ14" s="194">
        <f>(Затраты!AJ64-Затраты!AJ57-Затраты!AJ56-Затраты!AJ63+(-Налоги!AK$21)+Налоги!AK$26)*СОК!$B39/СОК!AJ$4+СОК!AJ30</f>
        <v>221149.99730165632</v>
      </c>
      <c r="AK14" s="194">
        <f>(Затраты!AK64-Затраты!AK57-Затраты!AK56-Затраты!AK63+(-Налоги!AL$21)+Налоги!AL$26)*СОК!$B39/СОК!AK$4+СОК!AK30</f>
        <v>214028.84376811719</v>
      </c>
      <c r="AL14" s="194">
        <f>(Затраты!AL64-Затраты!AL57-Затраты!AL56-Затраты!AL63+(-Налоги!AM$21)+Налоги!AM$26)*СОК!$B39/СОК!AL$4+СОК!AL30</f>
        <v>214041.82606000922</v>
      </c>
      <c r="AM14" s="194">
        <f>(Затраты!AM64-Затраты!AM57-Затраты!AM56-Затраты!AM63+(-Налоги!AN$21)+Налоги!AN$26)*СОК!$B39/СОК!AM$4+СОК!AM30</f>
        <v>221190.2481101928</v>
      </c>
      <c r="AN14" s="194">
        <f>(Затраты!AN64-Затраты!AN57-Затраты!AN56-Затраты!AN63+(-Налоги!AO$21)+Налоги!AO$26)*СОК!$B39/СОК!AN$4+СОК!AN30</f>
        <v>214068.60767171174</v>
      </c>
      <c r="AO14" s="194">
        <f>(Затраты!AO64-Затраты!AO57-Затраты!AO56-Затраты!AO63+(-Налоги!AP$21)+Налоги!AP$26)*СОК!$B39/СОК!AO$4+СОК!AO30</f>
        <v>221218.49899087063</v>
      </c>
      <c r="AP14" s="194">
        <f>(Затраты!AP64-Затраты!AP57-Затраты!AP56-Затраты!AP63+(-Налоги!AQ$21)+Налоги!AQ$26)*СОК!$B39/СОК!AP$4+СОК!AP30</f>
        <v>214096.51680786524</v>
      </c>
      <c r="AQ14" s="194">
        <f>(Затраты!AQ64-Затраты!AQ57-Затраты!AQ56-Затраты!AQ63+(-Налоги!AR$21)+Налоги!AR$26)*СОК!$B39/СОК!AQ$4+СОК!AQ30</f>
        <v>224786.08277759998</v>
      </c>
      <c r="AR14" s="194">
        <f>(Затраты!AR64-Затраты!AR57-Затраты!AR56-Затраты!AR63+(-Налоги!AS$21)+Налоги!AS$26)*СОК!$B39/СОК!AR$4+СОК!AR30</f>
        <v>248886.57205668878</v>
      </c>
      <c r="AS14" s="194">
        <f>(Затраты!AS64-Затраты!AS57-Затраты!AS56-Затраты!AS63+(-Налоги!AT$21)+Налоги!AT$26)*СОК!$B39/СОК!AS$4+СОК!AS30</f>
        <v>224815.77282714541</v>
      </c>
      <c r="AT14" s="194">
        <f>(Затраты!AT64-Затраты!AT57-Затраты!AT56-Затраты!AT63+(-Налоги!AU$21)+Налоги!AU$26)*СОК!$B39/СОК!AT$4+СОК!AT30</f>
        <v>232325.45279822859</v>
      </c>
      <c r="AU14" s="194">
        <f>(Затраты!AU64-Затраты!AU57-Затраты!AU56-Затраты!AU63+(-Налоги!AV$21)+Налоги!AV$26)*СОК!$B39/СОК!AU$4+СОК!AU30</f>
        <v>224846.71284839479</v>
      </c>
      <c r="AV14" s="194">
        <f>(Затраты!AV64-Затраты!AV57-Затраты!AV56-Затраты!AV63+(-Налоги!AW$21)+Налоги!AW$26)*СОК!$B39/СОК!AV$4+СОК!AV30</f>
        <v>232358.09022342152</v>
      </c>
      <c r="AW14" s="194">
        <f>(Затраты!AW64-Затраты!AW57-Затраты!AW56-Затраты!AW63+(-Налоги!AX$21)+Налоги!AX$26)*СОК!$B39/СОК!AW$4+СОК!AW30</f>
        <v>224878.95546602487</v>
      </c>
      <c r="AX14" s="194">
        <f>(Затраты!AX64-Затраты!AX57-Затраты!AX56-Затраты!AX63+(-Налоги!AY$21)+Налоги!AY$26)*СОК!$B39/СОК!AX$4+СОК!AX30</f>
        <v>224895.5822969806</v>
      </c>
      <c r="AY14" s="194">
        <f>(Затраты!AY64-Затраты!AY57-Затраты!AY56-Затраты!AY63+(-Налоги!AZ$21)+Налоги!AZ$26)*СОК!$B39/СОК!AY$4+СОК!AY30</f>
        <v>232409.64070425616</v>
      </c>
      <c r="AZ14" s="194">
        <f>(Затраты!AZ64-Затраты!AZ57-Затраты!AZ56-Затраты!AZ63+(-Налоги!BA$21)+Налоги!BA$26)*СОК!$B39/СОК!AZ$4+СОК!AZ30</f>
        <v>224929.88235233331</v>
      </c>
      <c r="BA14" s="194">
        <f>(Затраты!BA64-Затраты!BA57-Затраты!BA56-Затраты!BA63+(-Налоги!BB$21)+Налоги!BB$26)*СОК!$B39/СОК!BA$4+СОК!BA30</f>
        <v>232445.82249875666</v>
      </c>
      <c r="BB14" s="194">
        <f>(Затраты!BB64-Затраты!BB57-Затраты!BB56-Затраты!BB63+(-Налоги!BC$21)+Налоги!BC$26)*СОК!$B39/СОК!BB$4+СОК!BB30</f>
        <v>224965.62646383583</v>
      </c>
      <c r="BC14" s="194">
        <f>(Затраты!BC64-Затраты!BC57-Затраты!BC56-Затраты!BC63+(-Налоги!BD$21)+Налоги!BD$26)*СОК!$B39/СОК!BC$4+СОК!BC30</f>
        <v>236191.27902917899</v>
      </c>
      <c r="BD14" s="194">
        <f>(Затраты!BD64-Затраты!BD57-Затраты!BD56-Затраты!BD63+(-Налоги!BE$21)+Налоги!BE$26)*СОК!$B39/СОК!BD$4+СОК!BD30</f>
        <v>261518.32003541046</v>
      </c>
      <c r="BE14" s="194">
        <f>(Затраты!BE64-Затраты!BE57-Затраты!BE56-Затраты!BE63+(-Налоги!BF$21)+Налоги!BF$26)*СОК!$B39/СОК!BE$4+СОК!BE30</f>
        <v>236229.30401266931</v>
      </c>
      <c r="BF14" s="194">
        <f>(Затраты!BF64-Затраты!BF57-Затраты!BF56-Затраты!BF63+(-Налоги!BG$21)+Налоги!BG$26)*СОК!$B39/СОК!BF$4+СОК!BF30</f>
        <v>244123.87644271768</v>
      </c>
      <c r="BG14" s="194">
        <f>(Затраты!BG64-Затраты!BG57-Затраты!BG56-Затраты!BG63+(-Налоги!BH$21)+Налоги!BH$26)*СОК!$B39/СОК!BG$4+СОК!BG30</f>
        <v>236268.92987437078</v>
      </c>
      <c r="BH14" s="194">
        <f>(Затраты!BH64-Затраты!BH57-Затраты!BH56-Затраты!BH63+(-Налоги!BI$21)+Налоги!BI$26)*СОК!$B39/СОК!BH$4+СОК!BH30</f>
        <v>244165.67622322083</v>
      </c>
      <c r="BI14" s="194">
        <f>(Затраты!BI64-Затраты!BI57-Затраты!BI56-Затраты!BI63+(-Налоги!BJ$21)+Налоги!BJ$26)*СОК!$B39/СОК!BI$4+СОК!BI30</f>
        <v>236310.22401236783</v>
      </c>
      <c r="BJ14" s="194">
        <f>(Затраты!BJ64-Затраты!BJ57-Затраты!BJ56-Затраты!BJ63+(-Налоги!BK$21)+Налоги!BK$26)*СОК!$B39/СОК!BJ$4+СОК!BJ30</f>
        <v>138083.31237531026</v>
      </c>
      <c r="BK14" s="102"/>
      <c r="BL14" s="194">
        <f t="shared" si="7"/>
        <v>93927.394418951619</v>
      </c>
      <c r="BM14" s="194">
        <f t="shared" si="7"/>
        <v>2132552.2377622467</v>
      </c>
      <c r="BN14" s="194">
        <f t="shared" si="7"/>
        <v>2493627.195270807</v>
      </c>
      <c r="BO14" s="194">
        <f t="shared" si="7"/>
        <v>2611582.7601311975</v>
      </c>
      <c r="BP14" s="194">
        <f t="shared" si="7"/>
        <v>2752544.1933136666</v>
      </c>
      <c r="BQ14" s="194">
        <f t="shared" si="7"/>
        <v>1832890.9220052462</v>
      </c>
    </row>
    <row r="15" spans="1:69" ht="15.75" customHeight="1">
      <c r="A15" s="207" t="s">
        <v>210</v>
      </c>
      <c r="B15" s="194"/>
      <c r="C15" s="194">
        <f>C13+C9-C14</f>
        <v>-872.34289999999987</v>
      </c>
      <c r="D15" s="194">
        <f t="shared" ref="D15:BJ15" si="10">D13+D9-D14</f>
        <v>-844.20280645161279</v>
      </c>
      <c r="E15" s="194">
        <f t="shared" si="10"/>
        <v>-20437.065122222222</v>
      </c>
      <c r="F15" s="194">
        <f t="shared" si="10"/>
        <v>-17752.40366196238</v>
      </c>
      <c r="G15" s="194">
        <f t="shared" si="10"/>
        <v>-10567.381407231194</v>
      </c>
      <c r="H15" s="194">
        <f t="shared" si="10"/>
        <v>-2878.2883437202254</v>
      </c>
      <c r="I15" s="194">
        <f t="shared" si="10"/>
        <v>5367.8927863171557</v>
      </c>
      <c r="J15" s="194">
        <f t="shared" si="10"/>
        <v>17389.116690697731</v>
      </c>
      <c r="K15" s="194">
        <f t="shared" si="10"/>
        <v>-7094.843631699885</v>
      </c>
      <c r="L15" s="194">
        <f t="shared" si="10"/>
        <v>-7339.1865442075068</v>
      </c>
      <c r="M15" s="194">
        <f t="shared" si="10"/>
        <v>-7110.1917789594445</v>
      </c>
      <c r="N15" s="194">
        <f t="shared" si="10"/>
        <v>-7118.1064914960007</v>
      </c>
      <c r="O15" s="194">
        <f t="shared" si="10"/>
        <v>-7363.7256303396425</v>
      </c>
      <c r="P15" s="194">
        <f t="shared" si="10"/>
        <v>-7134.4340213077085</v>
      </c>
      <c r="Q15" s="194">
        <f t="shared" si="10"/>
        <v>-7380.948906578531</v>
      </c>
      <c r="R15" s="194">
        <f t="shared" si="10"/>
        <v>-7151.4489514631277</v>
      </c>
      <c r="S15" s="194">
        <f t="shared" si="10"/>
        <v>-7504.9032763607684</v>
      </c>
      <c r="T15" s="194">
        <f t="shared" si="10"/>
        <v>-8318.9167717058735</v>
      </c>
      <c r="U15" s="194">
        <f t="shared" si="10"/>
        <v>-7523.0039483610017</v>
      </c>
      <c r="V15" s="194">
        <f t="shared" si="10"/>
        <v>-7783.4160152368422</v>
      </c>
      <c r="W15" s="194">
        <f t="shared" si="10"/>
        <v>-7541.8666712223494</v>
      </c>
      <c r="X15" s="194">
        <f t="shared" si="10"/>
        <v>-7803.3135680329578</v>
      </c>
      <c r="Y15" s="194">
        <f t="shared" si="10"/>
        <v>-7561.5235278152686</v>
      </c>
      <c r="Z15" s="194">
        <f t="shared" si="10"/>
        <v>-7571.6601499543467</v>
      </c>
      <c r="AA15" s="194">
        <f t="shared" si="10"/>
        <v>-7834.7415501120267</v>
      </c>
      <c r="AB15" s="194">
        <f t="shared" si="10"/>
        <v>-7592.5713326917903</v>
      </c>
      <c r="AC15" s="194">
        <f t="shared" si="10"/>
        <v>-7856.7999435691454</v>
      </c>
      <c r="AD15" s="194">
        <f t="shared" si="10"/>
        <v>-7614.3628907441453</v>
      </c>
      <c r="AE15" s="194">
        <f t="shared" si="10"/>
        <v>-7985.9003001070523</v>
      </c>
      <c r="AF15" s="194">
        <f t="shared" si="10"/>
        <v>-8548.9147422854148</v>
      </c>
      <c r="AG15" s="194">
        <f t="shared" si="10"/>
        <v>-8009.0824020068394</v>
      </c>
      <c r="AH15" s="194">
        <f t="shared" si="10"/>
        <v>-36281.706690310471</v>
      </c>
      <c r="AI15" s="194">
        <f t="shared" si="10"/>
        <v>-35123.532623592095</v>
      </c>
      <c r="AJ15" s="194">
        <f t="shared" si="10"/>
        <v>-36307.190114156285</v>
      </c>
      <c r="AK15" s="194">
        <f t="shared" si="10"/>
        <v>-34366.77229634297</v>
      </c>
      <c r="AL15" s="194">
        <f t="shared" si="10"/>
        <v>-33519.625555976934</v>
      </c>
      <c r="AM15" s="194">
        <f t="shared" si="10"/>
        <v>-33802.240922692785</v>
      </c>
      <c r="AN15" s="194">
        <f t="shared" si="10"/>
        <v>-31904.342651550425</v>
      </c>
      <c r="AO15" s="194">
        <f t="shared" si="10"/>
        <v>-32133.691803370602</v>
      </c>
      <c r="AP15" s="194">
        <f t="shared" si="10"/>
        <v>-31111.219529639406</v>
      </c>
      <c r="AQ15" s="194">
        <f t="shared" si="10"/>
        <v>-32856.778699978953</v>
      </c>
      <c r="AR15" s="194">
        <f t="shared" si="10"/>
        <v>-36393.413970751222</v>
      </c>
      <c r="AS15" s="194">
        <f t="shared" si="10"/>
        <v>-32886.468749524385</v>
      </c>
      <c r="AT15" s="194">
        <f t="shared" si="10"/>
        <v>-33998.505251353548</v>
      </c>
      <c r="AU15" s="194">
        <f t="shared" si="10"/>
        <v>-32917.408770773764</v>
      </c>
      <c r="AV15" s="194">
        <f t="shared" si="10"/>
        <v>-34031.142676546471</v>
      </c>
      <c r="AW15" s="194">
        <f t="shared" si="10"/>
        <v>-32949.651388403843</v>
      </c>
      <c r="AX15" s="194">
        <f t="shared" si="10"/>
        <v>-32761.020154843456</v>
      </c>
      <c r="AY15" s="194">
        <f t="shared" si="10"/>
        <v>-33870.59315738111</v>
      </c>
      <c r="AZ15" s="194">
        <f t="shared" si="10"/>
        <v>-32795.320210196165</v>
      </c>
      <c r="BA15" s="194">
        <f t="shared" si="10"/>
        <v>-33906.774951881613</v>
      </c>
      <c r="BB15" s="194">
        <f t="shared" si="10"/>
        <v>-32831.064321698679</v>
      </c>
      <c r="BC15" s="194">
        <f t="shared" si="10"/>
        <v>-34665.509747676842</v>
      </c>
      <c r="BD15" s="194">
        <f t="shared" si="10"/>
        <v>-38400.504045175971</v>
      </c>
      <c r="BE15" s="194">
        <f t="shared" si="10"/>
        <v>-34703.534731167165</v>
      </c>
      <c r="BF15" s="194">
        <f t="shared" si="10"/>
        <v>-35880.581518498831</v>
      </c>
      <c r="BG15" s="194">
        <f t="shared" si="10"/>
        <v>-34743.160592868633</v>
      </c>
      <c r="BH15" s="194">
        <f t="shared" si="10"/>
        <v>-35922.38129900198</v>
      </c>
      <c r="BI15" s="194">
        <f t="shared" si="10"/>
        <v>-34784.454730865691</v>
      </c>
      <c r="BJ15" s="194">
        <f t="shared" si="10"/>
        <v>5847.9124757483078</v>
      </c>
      <c r="BK15" s="102"/>
      <c r="BL15" s="194">
        <f t="shared" si="7"/>
        <v>-39906.014490636211</v>
      </c>
      <c r="BM15" s="194">
        <f t="shared" si="7"/>
        <v>-48381.54622998838</v>
      </c>
      <c r="BN15" s="194">
        <f t="shared" si="7"/>
        <v>-92507.079645806516</v>
      </c>
      <c r="BO15" s="194">
        <f t="shared" si="7"/>
        <v>-329094.21963203128</v>
      </c>
      <c r="BP15" s="194">
        <f t="shared" si="7"/>
        <v>-402198.14230333321</v>
      </c>
      <c r="BQ15" s="194">
        <f t="shared" si="7"/>
        <v>-243252.21418950681</v>
      </c>
    </row>
    <row r="16" spans="1:69" ht="15.75" customHeight="1">
      <c r="A16" s="207" t="s">
        <v>211</v>
      </c>
      <c r="B16" s="194"/>
      <c r="C16" s="194">
        <f>C15-B15</f>
        <v>-872.34289999999987</v>
      </c>
      <c r="D16" s="194">
        <f t="shared" ref="D16:BJ16" si="11">D15-C15</f>
        <v>28.140093548387085</v>
      </c>
      <c r="E16" s="194">
        <f t="shared" si="11"/>
        <v>-19592.86231577061</v>
      </c>
      <c r="F16" s="194">
        <f t="shared" si="11"/>
        <v>2684.661460259842</v>
      </c>
      <c r="G16" s="194">
        <f t="shared" si="11"/>
        <v>7185.022254731186</v>
      </c>
      <c r="H16" s="194">
        <f t="shared" si="11"/>
        <v>7689.0930635109689</v>
      </c>
      <c r="I16" s="194">
        <f t="shared" si="11"/>
        <v>8246.1811300373811</v>
      </c>
      <c r="J16" s="194">
        <f t="shared" si="11"/>
        <v>12021.223904380575</v>
      </c>
      <c r="K16" s="194">
        <f t="shared" si="11"/>
        <v>-24483.960322397616</v>
      </c>
      <c r="L16" s="194">
        <f t="shared" si="11"/>
        <v>-244.3429125076218</v>
      </c>
      <c r="M16" s="194">
        <f t="shared" si="11"/>
        <v>228.99476524806232</v>
      </c>
      <c r="N16" s="194">
        <f t="shared" si="11"/>
        <v>-7.9147125365561806</v>
      </c>
      <c r="O16" s="194">
        <f t="shared" si="11"/>
        <v>-245.61913884364185</v>
      </c>
      <c r="P16" s="194">
        <f t="shared" si="11"/>
        <v>229.29160903193406</v>
      </c>
      <c r="Q16" s="194">
        <f t="shared" si="11"/>
        <v>-246.51488527082256</v>
      </c>
      <c r="R16" s="194">
        <f t="shared" si="11"/>
        <v>229.49995511540328</v>
      </c>
      <c r="S16" s="194">
        <f t="shared" si="11"/>
        <v>-353.45432489764062</v>
      </c>
      <c r="T16" s="194">
        <f t="shared" si="11"/>
        <v>-814.01349534510518</v>
      </c>
      <c r="U16" s="194">
        <f t="shared" si="11"/>
        <v>795.91282334487187</v>
      </c>
      <c r="V16" s="194">
        <f t="shared" si="11"/>
        <v>-260.41206687584054</v>
      </c>
      <c r="W16" s="194">
        <f t="shared" si="11"/>
        <v>241.54934401449282</v>
      </c>
      <c r="X16" s="194">
        <f t="shared" si="11"/>
        <v>-261.44689681060845</v>
      </c>
      <c r="Y16" s="194">
        <f t="shared" si="11"/>
        <v>241.79004021768924</v>
      </c>
      <c r="Z16" s="194">
        <f t="shared" si="11"/>
        <v>-10.136622139078099</v>
      </c>
      <c r="AA16" s="194">
        <f t="shared" si="11"/>
        <v>-263.08140015768004</v>
      </c>
      <c r="AB16" s="194">
        <f t="shared" si="11"/>
        <v>242.17021742023644</v>
      </c>
      <c r="AC16" s="194">
        <f t="shared" si="11"/>
        <v>-264.22861087735509</v>
      </c>
      <c r="AD16" s="194">
        <f t="shared" si="11"/>
        <v>242.43705282500014</v>
      </c>
      <c r="AE16" s="194">
        <f t="shared" si="11"/>
        <v>-371.53740936290706</v>
      </c>
      <c r="AF16" s="194">
        <f t="shared" si="11"/>
        <v>-563.01444217836251</v>
      </c>
      <c r="AG16" s="194">
        <f t="shared" si="11"/>
        <v>539.83234027857543</v>
      </c>
      <c r="AH16" s="194">
        <f t="shared" si="11"/>
        <v>-28272.624288303632</v>
      </c>
      <c r="AI16" s="194">
        <f t="shared" si="11"/>
        <v>1158.1740667183767</v>
      </c>
      <c r="AJ16" s="194">
        <f t="shared" si="11"/>
        <v>-1183.6574905641901</v>
      </c>
      <c r="AK16" s="194">
        <f t="shared" si="11"/>
        <v>1940.4178178133152</v>
      </c>
      <c r="AL16" s="194">
        <f t="shared" si="11"/>
        <v>847.14674036603537</v>
      </c>
      <c r="AM16" s="194">
        <f t="shared" si="11"/>
        <v>-282.61536671585054</v>
      </c>
      <c r="AN16" s="194">
        <f t="shared" si="11"/>
        <v>1897.8982711423596</v>
      </c>
      <c r="AO16" s="194">
        <f t="shared" si="11"/>
        <v>-229.34915182017721</v>
      </c>
      <c r="AP16" s="194">
        <f t="shared" si="11"/>
        <v>1022.4722737311968</v>
      </c>
      <c r="AQ16" s="194">
        <f t="shared" si="11"/>
        <v>-1745.5591703395476</v>
      </c>
      <c r="AR16" s="194">
        <f t="shared" si="11"/>
        <v>-3536.635270772269</v>
      </c>
      <c r="AS16" s="194">
        <f t="shared" si="11"/>
        <v>3506.945221226837</v>
      </c>
      <c r="AT16" s="194">
        <f t="shared" si="11"/>
        <v>-1112.0365018291632</v>
      </c>
      <c r="AU16" s="194">
        <f t="shared" si="11"/>
        <v>1081.0964805797848</v>
      </c>
      <c r="AV16" s="194">
        <f t="shared" si="11"/>
        <v>-1113.7339057727077</v>
      </c>
      <c r="AW16" s="194">
        <f t="shared" si="11"/>
        <v>1081.491288142628</v>
      </c>
      <c r="AX16" s="194">
        <f t="shared" si="11"/>
        <v>188.63123356038705</v>
      </c>
      <c r="AY16" s="194">
        <f t="shared" si="11"/>
        <v>-1109.5730025376542</v>
      </c>
      <c r="AZ16" s="194">
        <f t="shared" si="11"/>
        <v>1075.2729471849452</v>
      </c>
      <c r="BA16" s="194">
        <f t="shared" si="11"/>
        <v>-1111.4547416854475</v>
      </c>
      <c r="BB16" s="194">
        <f t="shared" si="11"/>
        <v>1075.7106301829335</v>
      </c>
      <c r="BC16" s="194">
        <f t="shared" si="11"/>
        <v>-1834.4454259781633</v>
      </c>
      <c r="BD16" s="194">
        <f t="shared" si="11"/>
        <v>-3734.9942974991282</v>
      </c>
      <c r="BE16" s="194">
        <f t="shared" si="11"/>
        <v>3696.9693140088057</v>
      </c>
      <c r="BF16" s="194">
        <f t="shared" si="11"/>
        <v>-1177.0467873316666</v>
      </c>
      <c r="BG16" s="194">
        <f t="shared" si="11"/>
        <v>1137.4209256301983</v>
      </c>
      <c r="BH16" s="194">
        <f t="shared" si="11"/>
        <v>-1179.2207061333465</v>
      </c>
      <c r="BI16" s="194">
        <f t="shared" si="11"/>
        <v>1137.9265681362886</v>
      </c>
      <c r="BJ16" s="194">
        <f t="shared" si="11"/>
        <v>40632.367206613999</v>
      </c>
      <c r="BK16" s="102"/>
      <c r="BL16" s="194">
        <f>BL15-BK15</f>
        <v>-39906.014490636211</v>
      </c>
      <c r="BM16" s="194">
        <f t="shared" ref="BM16:BQ16" si="12">BM15-BL15</f>
        <v>-8475.5317393521691</v>
      </c>
      <c r="BN16" s="194">
        <f t="shared" si="12"/>
        <v>-44125.533415818136</v>
      </c>
      <c r="BO16" s="194">
        <f t="shared" si="12"/>
        <v>-236587.13998622476</v>
      </c>
      <c r="BP16" s="194">
        <f t="shared" si="12"/>
        <v>-73103.922671301931</v>
      </c>
      <c r="BQ16" s="194">
        <f t="shared" si="12"/>
        <v>158945.92811382641</v>
      </c>
    </row>
    <row r="17" spans="1:69" ht="15.75" customHeight="1">
      <c r="A17" s="210"/>
      <c r="B17" s="210"/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209"/>
      <c r="X17" s="209"/>
      <c r="Y17" s="209"/>
      <c r="Z17" s="209"/>
      <c r="AA17" s="209"/>
      <c r="AB17" s="209"/>
      <c r="AC17" s="209"/>
      <c r="AD17" s="209"/>
      <c r="AE17" s="209"/>
      <c r="AF17" s="209"/>
      <c r="AG17" s="209"/>
      <c r="AH17" s="209"/>
      <c r="AI17" s="209"/>
      <c r="AJ17" s="209"/>
      <c r="AK17" s="209"/>
      <c r="AL17" s="209"/>
      <c r="AM17" s="209"/>
      <c r="AN17" s="209"/>
      <c r="AO17" s="209"/>
      <c r="AP17" s="209"/>
      <c r="AQ17" s="209"/>
      <c r="AR17" s="209"/>
      <c r="AS17" s="209"/>
      <c r="AT17" s="209"/>
      <c r="AU17" s="209"/>
      <c r="AV17" s="209"/>
      <c r="AW17" s="209"/>
      <c r="AX17" s="209"/>
      <c r="AY17" s="209"/>
      <c r="AZ17" s="209"/>
      <c r="BA17" s="209"/>
      <c r="BB17" s="209"/>
      <c r="BC17" s="209"/>
      <c r="BD17" s="209"/>
      <c r="BE17" s="209"/>
      <c r="BF17" s="209"/>
      <c r="BG17" s="209"/>
      <c r="BH17" s="209"/>
      <c r="BI17" s="209"/>
      <c r="BJ17" s="209"/>
      <c r="BK17" s="102"/>
      <c r="BL17" s="128"/>
      <c r="BM17" s="128"/>
      <c r="BN17" s="128"/>
      <c r="BO17" s="128"/>
      <c r="BP17" s="128"/>
      <c r="BQ17" s="128"/>
    </row>
    <row r="18" spans="1:69" ht="15.75" customHeight="1">
      <c r="A18" s="124" t="s">
        <v>258</v>
      </c>
      <c r="B18" s="124"/>
      <c r="C18" s="20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9"/>
      <c r="AD18" s="209"/>
      <c r="AE18" s="209"/>
      <c r="AF18" s="209"/>
      <c r="AG18" s="209"/>
      <c r="AH18" s="209"/>
      <c r="AI18" s="209"/>
      <c r="AJ18" s="209"/>
      <c r="AK18" s="209"/>
      <c r="AL18" s="209"/>
      <c r="AM18" s="209"/>
      <c r="AN18" s="209"/>
      <c r="AO18" s="209"/>
      <c r="AP18" s="209"/>
      <c r="AQ18" s="209"/>
      <c r="AR18" s="209"/>
      <c r="AS18" s="209"/>
      <c r="AT18" s="209"/>
      <c r="AU18" s="209"/>
      <c r="AV18" s="209"/>
      <c r="AW18" s="209"/>
      <c r="AX18" s="209"/>
      <c r="AY18" s="209"/>
      <c r="AZ18" s="209"/>
      <c r="BA18" s="209"/>
      <c r="BB18" s="209"/>
      <c r="BC18" s="209"/>
      <c r="BD18" s="209"/>
      <c r="BE18" s="209"/>
      <c r="BF18" s="209"/>
      <c r="BG18" s="209"/>
      <c r="BH18" s="209"/>
      <c r="BI18" s="209"/>
      <c r="BJ18" s="209"/>
      <c r="BK18" s="102"/>
      <c r="BL18" s="128"/>
      <c r="BM18" s="128"/>
      <c r="BN18" s="128"/>
      <c r="BO18" s="128"/>
      <c r="BP18" s="128"/>
      <c r="BQ18" s="128"/>
    </row>
    <row r="19" spans="1:69">
      <c r="A19" s="207" t="s">
        <v>213</v>
      </c>
      <c r="B19" s="194"/>
      <c r="C19" s="194">
        <f>Затраты!C58*СОК!$B$36/СОК!C$4</f>
        <v>0</v>
      </c>
      <c r="D19" s="194">
        <f>Затраты!D58*СОК!$B$36/СОК!D$4</f>
        <v>0</v>
      </c>
      <c r="E19" s="194">
        <f>Затраты!E58*СОК!$B$36/СОК!E$4</f>
        <v>9361.1111111111113</v>
      </c>
      <c r="F19" s="194">
        <f>Затраты!F58*СОК!$B$36/СОК!F$4</f>
        <v>18118.279569892471</v>
      </c>
      <c r="G19" s="194">
        <f>Затраты!G58*СОК!$B$36/СОК!G$4</f>
        <v>28536.290322580648</v>
      </c>
      <c r="H19" s="194">
        <f>Затраты!H58*СОК!$B$36/СОК!H$4</f>
        <v>42125.000000000007</v>
      </c>
      <c r="I19" s="194">
        <f>Затраты!I58*СОК!$B$36/СОК!I$4</f>
        <v>47560.48387096775</v>
      </c>
      <c r="J19" s="194">
        <f>Затраты!J58*СОК!$B$36/СОК!J$4</f>
        <v>49145.833333333343</v>
      </c>
      <c r="K19" s="194">
        <f>Затраты!K58*СОК!$B$36/СОК!K$4</f>
        <v>47560.48387096775</v>
      </c>
      <c r="L19" s="194">
        <f>Затраты!L58*СОК!$B$36/СОК!L$4</f>
        <v>49145.833333333343</v>
      </c>
      <c r="M19" s="194">
        <f>Затраты!M58*СОК!$B$36/СОК!M$4</f>
        <v>47560.48387096775</v>
      </c>
      <c r="N19" s="194">
        <f>Затраты!N58*СОК!$B$36/СОК!N$4</f>
        <v>47560.48387096775</v>
      </c>
      <c r="O19" s="194">
        <f>Затраты!O58*СОК!$B$36/СОК!O$4</f>
        <v>49145.833333333343</v>
      </c>
      <c r="P19" s="194">
        <f>Затраты!P58*СОК!$B$36/СОК!P$4</f>
        <v>47560.48387096775</v>
      </c>
      <c r="Q19" s="194">
        <f>Затраты!Q58*СОК!$B$36/СОК!Q$4</f>
        <v>49145.833333333343</v>
      </c>
      <c r="R19" s="194">
        <f>Затраты!R58*СОК!$B$36/СОК!R$4</f>
        <v>47560.48387096775</v>
      </c>
      <c r="S19" s="194">
        <f>Затраты!S58*СОК!$B$36/СОК!S$4</f>
        <v>49938.508064516136</v>
      </c>
      <c r="T19" s="194">
        <f>Затраты!T58*СОК!$B$36/СОК!T$4</f>
        <v>55289.062500000007</v>
      </c>
      <c r="U19" s="194">
        <f>Затраты!U58*СОК!$B$36/СОК!U$4</f>
        <v>49938.508064516136</v>
      </c>
      <c r="V19" s="194">
        <f>Затраты!V58*СОК!$B$36/СОК!V$4</f>
        <v>51603.125000000007</v>
      </c>
      <c r="W19" s="194">
        <f>Затраты!W58*СОК!$B$36/СОК!W$4</f>
        <v>49938.508064516136</v>
      </c>
      <c r="X19" s="194">
        <f>Затраты!X58*СОК!$B$36/СОК!X$4</f>
        <v>51603.125000000007</v>
      </c>
      <c r="Y19" s="194">
        <f>Затраты!Y58*СОК!$B$36/СОК!Y$4</f>
        <v>49938.508064516136</v>
      </c>
      <c r="Z19" s="194">
        <f>Затраты!Z58*СОК!$B$36/СОК!Z$4</f>
        <v>49938.508064516136</v>
      </c>
      <c r="AA19" s="194">
        <f>Затраты!AA58*СОК!$B$36/СОК!AA$4</f>
        <v>51603.125000000007</v>
      </c>
      <c r="AB19" s="194">
        <f>Затраты!AB58*СОК!$B$36/СОК!AB$4</f>
        <v>49938.508064516136</v>
      </c>
      <c r="AC19" s="194">
        <f>Затраты!AC58*СОК!$B$36/СОК!AC$4</f>
        <v>51603.125000000007</v>
      </c>
      <c r="AD19" s="194">
        <f>Затраты!AD58*СОК!$B$36/СОК!AD$4</f>
        <v>49938.508064516136</v>
      </c>
      <c r="AE19" s="194">
        <f>Затраты!AE58*СОК!$B$36/СОК!AE$4</f>
        <v>52435.433467741947</v>
      </c>
      <c r="AF19" s="194">
        <f>Затраты!AF58*СОК!$B$36/СОК!AF$4</f>
        <v>56051.670258620696</v>
      </c>
      <c r="AG19" s="194">
        <f>Затраты!AG58*СОК!$B$36/СОК!AG$4</f>
        <v>52435.433467741947</v>
      </c>
      <c r="AH19" s="194">
        <f>Затраты!AH58*СОК!$B$36/СОК!AH$4</f>
        <v>54183.281250000007</v>
      </c>
      <c r="AI19" s="194">
        <f>Затраты!AI58*СОК!$B$36/СОК!AI$4</f>
        <v>52435.433467741947</v>
      </c>
      <c r="AJ19" s="194">
        <f>Затраты!AJ58*СОК!$B$36/СОК!AJ$4</f>
        <v>54183.281250000007</v>
      </c>
      <c r="AK19" s="194">
        <f>Затраты!AK58*СОК!$B$36/СОК!AK$4</f>
        <v>52435.433467741947</v>
      </c>
      <c r="AL19" s="194">
        <f>Затраты!AL58*СОК!$B$36/СОК!AL$4</f>
        <v>52435.433467741947</v>
      </c>
      <c r="AM19" s="194">
        <f>Затраты!AM58*СОК!$B$36/СОК!AM$4</f>
        <v>54183.281250000007</v>
      </c>
      <c r="AN19" s="194">
        <f>Затраты!AN58*СОК!$B$36/СОК!AN$4</f>
        <v>52435.433467741947</v>
      </c>
      <c r="AO19" s="194">
        <f>Затраты!AO58*СОК!$B$36/СОК!AO$4</f>
        <v>54183.281250000007</v>
      </c>
      <c r="AP19" s="194">
        <f>Затраты!AP58*СОК!$B$36/СОК!AP$4</f>
        <v>52435.433467741947</v>
      </c>
      <c r="AQ19" s="194">
        <f>Затраты!AQ58*СОК!$B$36/СОК!AQ$4</f>
        <v>55057.205141129045</v>
      </c>
      <c r="AR19" s="194">
        <f>Затраты!AR58*СОК!$B$36/СОК!AR$4</f>
        <v>60956.191406250015</v>
      </c>
      <c r="AS19" s="194">
        <f>Затраты!AS58*СОК!$B$36/СОК!AS$4</f>
        <v>55057.205141129045</v>
      </c>
      <c r="AT19" s="194">
        <f>Затраты!AT58*СОК!$B$36/СОК!AT$4</f>
        <v>56892.445312500015</v>
      </c>
      <c r="AU19" s="194">
        <f>Затраты!AU58*СОК!$B$36/СОК!AU$4</f>
        <v>55057.205141129045</v>
      </c>
      <c r="AV19" s="194">
        <f>Затраты!AV58*СОК!$B$36/СОК!AV$4</f>
        <v>56892.445312500015</v>
      </c>
      <c r="AW19" s="194">
        <f>Затраты!AW58*СОК!$B$36/СОК!AW$4</f>
        <v>55057.205141129045</v>
      </c>
      <c r="AX19" s="194">
        <f>Затраты!AX58*СОК!$B$36/СОК!AX$4</f>
        <v>55057.205141129045</v>
      </c>
      <c r="AY19" s="194">
        <f>Затраты!AY58*СОК!$B$36/СОК!AY$4</f>
        <v>56892.445312500015</v>
      </c>
      <c r="AZ19" s="194">
        <f>Затраты!AZ58*СОК!$B$36/СОК!AZ$4</f>
        <v>55057.205141129045</v>
      </c>
      <c r="BA19" s="194">
        <f>Затраты!BA58*СОК!$B$36/СОК!BA$4</f>
        <v>56892.445312500015</v>
      </c>
      <c r="BB19" s="194">
        <f>Затраты!BB58*СОК!$B$36/СОК!BB$4</f>
        <v>55057.205141129045</v>
      </c>
      <c r="BC19" s="194">
        <f>Затраты!BC58*СОК!$B$36/СОК!BC$4</f>
        <v>57810.065398185521</v>
      </c>
      <c r="BD19" s="194">
        <f>Затраты!BD58*СОК!$B$36/СОК!BD$4</f>
        <v>64004.000976562544</v>
      </c>
      <c r="BE19" s="194">
        <f>Затраты!BE58*СОК!$B$36/СОК!BE$4</f>
        <v>57810.065398185521</v>
      </c>
      <c r="BF19" s="194">
        <f>Затраты!BF58*СОК!$B$36/СОК!BF$4</f>
        <v>59737.067578125039</v>
      </c>
      <c r="BG19" s="194">
        <f>Затраты!BG58*СОК!$B$36/СОК!BG$4</f>
        <v>57810.065398185521</v>
      </c>
      <c r="BH19" s="194">
        <f>Затраты!BH58*СОК!$B$36/СОК!BH$4</f>
        <v>59737.067578125039</v>
      </c>
      <c r="BI19" s="194">
        <f>Затраты!BI58*СОК!$B$36/СОК!BI$4</f>
        <v>57810.065398185521</v>
      </c>
      <c r="BJ19" s="194">
        <f>Затраты!BJ58*СОК!$B$36/СОК!BJ$4</f>
        <v>0</v>
      </c>
      <c r="BK19" s="102"/>
      <c r="BL19" s="194">
        <f t="shared" ref="BL19:BQ21" si="13">SUMIF($C$2:$BJ$2,BL$2,$C19:$BJ19)</f>
        <v>27479.390681003584</v>
      </c>
      <c r="BM19" s="194">
        <f t="shared" si="13"/>
        <v>552607.52688172064</v>
      </c>
      <c r="BN19" s="194">
        <f t="shared" si="13"/>
        <v>611271.11895161297</v>
      </c>
      <c r="BO19" s="194">
        <f t="shared" si="13"/>
        <v>639832.82953281433</v>
      </c>
      <c r="BP19" s="194">
        <f t="shared" si="13"/>
        <v>673926.40864415339</v>
      </c>
      <c r="BQ19" s="194">
        <f t="shared" si="13"/>
        <v>414718.39772555471</v>
      </c>
    </row>
    <row r="20" spans="1:69" ht="15.75" customHeight="1">
      <c r="A20" s="207" t="s">
        <v>212</v>
      </c>
      <c r="B20" s="194"/>
      <c r="C20" s="194">
        <f>Затраты!C59*$B$37/C$4</f>
        <v>0</v>
      </c>
      <c r="D20" s="194">
        <f>Затраты!D59*$B$37/D$4</f>
        <v>0</v>
      </c>
      <c r="E20" s="194">
        <f>Затраты!E59*$B$37/E$4</f>
        <v>0</v>
      </c>
      <c r="F20" s="194">
        <f>Затраты!F59*$B$37/F$4</f>
        <v>20.161290322580648</v>
      </c>
      <c r="G20" s="194">
        <f>Затраты!G59*$B$37/G$4</f>
        <v>21.16935483870968</v>
      </c>
      <c r="H20" s="194">
        <f>Затраты!H59*$B$37/H$4</f>
        <v>23.437500000000004</v>
      </c>
      <c r="I20" s="194">
        <f>Затраты!I59*$B$37/I$4</f>
        <v>21.16935483870968</v>
      </c>
      <c r="J20" s="194">
        <f>Затраты!J59*$B$37/J$4</f>
        <v>21.875000000000004</v>
      </c>
      <c r="K20" s="194">
        <f>Затраты!K59*$B$37/K$4</f>
        <v>21.16935483870968</v>
      </c>
      <c r="L20" s="194">
        <f>Затраты!L59*$B$37/L$4</f>
        <v>21.875000000000004</v>
      </c>
      <c r="M20" s="194">
        <f>Затраты!M59*$B$37/M$4</f>
        <v>21.16935483870968</v>
      </c>
      <c r="N20" s="194">
        <f>Затраты!N59*$B$37/N$4</f>
        <v>21.16935483870968</v>
      </c>
      <c r="O20" s="194">
        <f>Затраты!O59*$B$37/O$4</f>
        <v>21.875000000000004</v>
      </c>
      <c r="P20" s="194">
        <f>Затраты!P59*$B$37/P$4</f>
        <v>21.16935483870968</v>
      </c>
      <c r="Q20" s="194">
        <f>Затраты!Q59*$B$37/Q$4</f>
        <v>21.875000000000004</v>
      </c>
      <c r="R20" s="194">
        <f>Затраты!R59*$B$37/R$4</f>
        <v>21.16935483870968</v>
      </c>
      <c r="S20" s="194">
        <f>Затраты!S59*$B$37/S$4</f>
        <v>22.227822580645164</v>
      </c>
      <c r="T20" s="194">
        <f>Затраты!T59*$B$37/T$4</f>
        <v>24.609375000000004</v>
      </c>
      <c r="U20" s="194">
        <f>Затраты!U59*$B$37/U$4</f>
        <v>22.227822580645164</v>
      </c>
      <c r="V20" s="194">
        <f>Затраты!V59*$B$37/V$4</f>
        <v>22.968750000000004</v>
      </c>
      <c r="W20" s="194">
        <f>Затраты!W59*$B$37/W$4</f>
        <v>22.227822580645164</v>
      </c>
      <c r="X20" s="194">
        <f>Затраты!X59*$B$37/X$4</f>
        <v>22.968750000000004</v>
      </c>
      <c r="Y20" s="194">
        <f>Затраты!Y59*$B$37/Y$4</f>
        <v>22.227822580645164</v>
      </c>
      <c r="Z20" s="194">
        <f>Затраты!Z59*$B$37/Z$4</f>
        <v>22.227822580645164</v>
      </c>
      <c r="AA20" s="194">
        <f>Затраты!AA59*$B$37/AA$4</f>
        <v>22.968750000000004</v>
      </c>
      <c r="AB20" s="194">
        <f>Затраты!AB59*$B$37/AB$4</f>
        <v>22.227822580645164</v>
      </c>
      <c r="AC20" s="194">
        <f>Затраты!AC59*$B$37/AC$4</f>
        <v>22.968750000000004</v>
      </c>
      <c r="AD20" s="194">
        <f>Затраты!AD59*$B$37/AD$4</f>
        <v>22.227822580645164</v>
      </c>
      <c r="AE20" s="194">
        <f>Затраты!AE59*$B$37/AE$4</f>
        <v>23.339213709677423</v>
      </c>
      <c r="AF20" s="194">
        <f>Затраты!AF59*$B$37/AF$4</f>
        <v>24.948814655172416</v>
      </c>
      <c r="AG20" s="194">
        <f>Затраты!AG59*$B$37/AG$4</f>
        <v>23.339213709677423</v>
      </c>
      <c r="AH20" s="194">
        <f>Затраты!AH59*$B$37/AH$4</f>
        <v>24.117187500000004</v>
      </c>
      <c r="AI20" s="194">
        <f>Затраты!AI59*$B$37/AI$4</f>
        <v>23.339213709677423</v>
      </c>
      <c r="AJ20" s="194">
        <f>Затраты!AJ59*$B$37/AJ$4</f>
        <v>24.117187500000004</v>
      </c>
      <c r="AK20" s="194">
        <f>Затраты!AK59*$B$37/AK$4</f>
        <v>23.339213709677423</v>
      </c>
      <c r="AL20" s="194">
        <f>Затраты!AL59*$B$37/AL$4</f>
        <v>23.339213709677423</v>
      </c>
      <c r="AM20" s="194">
        <f>Затраты!AM59*$B$37/AM$4</f>
        <v>24.117187500000004</v>
      </c>
      <c r="AN20" s="194">
        <f>Затраты!AN59*$B$37/AN$4</f>
        <v>23.339213709677423</v>
      </c>
      <c r="AO20" s="194">
        <f>Затраты!AO59*$B$37/AO$4</f>
        <v>24.117187500000004</v>
      </c>
      <c r="AP20" s="194">
        <f>Затраты!AP59*$B$37/AP$4</f>
        <v>23.339213709677423</v>
      </c>
      <c r="AQ20" s="194">
        <f>Затраты!AQ59*$B$37/AQ$4</f>
        <v>24.506174395161299</v>
      </c>
      <c r="AR20" s="194">
        <f>Затраты!AR59*$B$37/AR$4</f>
        <v>27.131835937500007</v>
      </c>
      <c r="AS20" s="194">
        <f>Затраты!AS59*$B$37/AS$4</f>
        <v>24.506174395161299</v>
      </c>
      <c r="AT20" s="194">
        <f>Затраты!AT59*$B$37/AT$4</f>
        <v>25.323046875000006</v>
      </c>
      <c r="AU20" s="194">
        <f>Затраты!AU59*$B$37/AU$4</f>
        <v>24.506174395161299</v>
      </c>
      <c r="AV20" s="194">
        <f>Затраты!AV59*$B$37/AV$4</f>
        <v>25.323046875000006</v>
      </c>
      <c r="AW20" s="194">
        <f>Затраты!AW59*$B$37/AW$4</f>
        <v>24.506174395161299</v>
      </c>
      <c r="AX20" s="194">
        <f>Затраты!AX59*$B$37/AX$4</f>
        <v>24.506174395161299</v>
      </c>
      <c r="AY20" s="194">
        <f>Затраты!AY59*$B$37/AY$4</f>
        <v>25.323046875000006</v>
      </c>
      <c r="AZ20" s="194">
        <f>Затраты!AZ59*$B$37/AZ$4</f>
        <v>24.506174395161299</v>
      </c>
      <c r="BA20" s="194">
        <f>Затраты!BA59*$B$37/BA$4</f>
        <v>25.323046875000006</v>
      </c>
      <c r="BB20" s="194">
        <f>Затраты!BB59*$B$37/BB$4</f>
        <v>24.506174395161299</v>
      </c>
      <c r="BC20" s="194">
        <f>Затраты!BC59*$B$37/BC$4</f>
        <v>25.731483114919364</v>
      </c>
      <c r="BD20" s="194">
        <f>Затраты!BD59*$B$37/BD$4</f>
        <v>28.488427734375012</v>
      </c>
      <c r="BE20" s="194">
        <f>Затраты!BE59*$B$37/BE$4</f>
        <v>25.731483114919364</v>
      </c>
      <c r="BF20" s="194">
        <f>Затраты!BF59*$B$37/BF$4</f>
        <v>26.589199218750011</v>
      </c>
      <c r="BG20" s="194">
        <f>Затраты!BG59*$B$37/BG$4</f>
        <v>25.731483114919364</v>
      </c>
      <c r="BH20" s="194">
        <f>Затраты!BH59*$B$37/BH$4</f>
        <v>26.589199218750011</v>
      </c>
      <c r="BI20" s="194">
        <f>Затраты!BI59*$B$37/BI$4</f>
        <v>25.731483114919364</v>
      </c>
      <c r="BJ20" s="194">
        <f>Затраты!BJ59*$B$37/BJ$4</f>
        <v>25.731483114919364</v>
      </c>
      <c r="BK20" s="102"/>
      <c r="BL20" s="194">
        <f t="shared" si="13"/>
        <v>20.161290322580648</v>
      </c>
      <c r="BM20" s="194">
        <f t="shared" si="13"/>
        <v>259.1229838709678</v>
      </c>
      <c r="BN20" s="194">
        <f t="shared" si="13"/>
        <v>272.07913306451616</v>
      </c>
      <c r="BO20" s="194">
        <f t="shared" si="13"/>
        <v>284.79206062291445</v>
      </c>
      <c r="BP20" s="194">
        <f t="shared" si="13"/>
        <v>299.96724420362915</v>
      </c>
      <c r="BQ20" s="194">
        <f t="shared" si="13"/>
        <v>210.32424174647184</v>
      </c>
    </row>
    <row r="21" spans="1:69">
      <c r="A21" s="124" t="s">
        <v>38</v>
      </c>
      <c r="B21" s="124"/>
      <c r="C21" s="197">
        <f>SUM(C19:C20)</f>
        <v>0</v>
      </c>
      <c r="D21" s="197">
        <f t="shared" ref="D21:BJ21" si="14">SUM(D19:D20)</f>
        <v>0</v>
      </c>
      <c r="E21" s="197">
        <f t="shared" si="14"/>
        <v>9361.1111111111113</v>
      </c>
      <c r="F21" s="197">
        <f t="shared" si="14"/>
        <v>18138.440860215051</v>
      </c>
      <c r="G21" s="197">
        <f t="shared" si="14"/>
        <v>28557.459677419356</v>
      </c>
      <c r="H21" s="197">
        <f t="shared" si="14"/>
        <v>42148.437500000007</v>
      </c>
      <c r="I21" s="197">
        <f t="shared" si="14"/>
        <v>47581.653225806462</v>
      </c>
      <c r="J21" s="197">
        <f t="shared" si="14"/>
        <v>49167.708333333343</v>
      </c>
      <c r="K21" s="197">
        <f t="shared" si="14"/>
        <v>47581.653225806462</v>
      </c>
      <c r="L21" s="197">
        <f t="shared" si="14"/>
        <v>49167.708333333343</v>
      </c>
      <c r="M21" s="197">
        <f t="shared" si="14"/>
        <v>47581.653225806462</v>
      </c>
      <c r="N21" s="197">
        <f t="shared" si="14"/>
        <v>47581.653225806462</v>
      </c>
      <c r="O21" s="197">
        <f t="shared" si="14"/>
        <v>49167.708333333343</v>
      </c>
      <c r="P21" s="197">
        <f t="shared" si="14"/>
        <v>47581.653225806462</v>
      </c>
      <c r="Q21" s="197">
        <f t="shared" si="14"/>
        <v>49167.708333333343</v>
      </c>
      <c r="R21" s="197">
        <f t="shared" si="14"/>
        <v>47581.653225806462</v>
      </c>
      <c r="S21" s="197">
        <f t="shared" si="14"/>
        <v>49960.73588709678</v>
      </c>
      <c r="T21" s="197">
        <f t="shared" si="14"/>
        <v>55313.671875000007</v>
      </c>
      <c r="U21" s="197">
        <f t="shared" si="14"/>
        <v>49960.73588709678</v>
      </c>
      <c r="V21" s="197">
        <f t="shared" si="14"/>
        <v>51626.093750000007</v>
      </c>
      <c r="W21" s="197">
        <f t="shared" si="14"/>
        <v>49960.73588709678</v>
      </c>
      <c r="X21" s="197">
        <f t="shared" si="14"/>
        <v>51626.093750000007</v>
      </c>
      <c r="Y21" s="197">
        <f t="shared" si="14"/>
        <v>49960.73588709678</v>
      </c>
      <c r="Z21" s="197">
        <f t="shared" si="14"/>
        <v>49960.73588709678</v>
      </c>
      <c r="AA21" s="197">
        <f t="shared" si="14"/>
        <v>51626.093750000007</v>
      </c>
      <c r="AB21" s="197">
        <f t="shared" si="14"/>
        <v>49960.73588709678</v>
      </c>
      <c r="AC21" s="197">
        <f t="shared" si="14"/>
        <v>51626.093750000007</v>
      </c>
      <c r="AD21" s="197">
        <f t="shared" si="14"/>
        <v>49960.73588709678</v>
      </c>
      <c r="AE21" s="197">
        <f t="shared" si="14"/>
        <v>52458.772681451621</v>
      </c>
      <c r="AF21" s="197">
        <f t="shared" si="14"/>
        <v>56076.61907327587</v>
      </c>
      <c r="AG21" s="197">
        <f t="shared" si="14"/>
        <v>52458.772681451621</v>
      </c>
      <c r="AH21" s="197">
        <f t="shared" si="14"/>
        <v>54207.398437500007</v>
      </c>
      <c r="AI21" s="197">
        <f t="shared" si="14"/>
        <v>52458.772681451621</v>
      </c>
      <c r="AJ21" s="197">
        <f t="shared" si="14"/>
        <v>54207.398437500007</v>
      </c>
      <c r="AK21" s="197">
        <f t="shared" si="14"/>
        <v>52458.772681451621</v>
      </c>
      <c r="AL21" s="197">
        <f t="shared" si="14"/>
        <v>52458.772681451621</v>
      </c>
      <c r="AM21" s="197">
        <f t="shared" si="14"/>
        <v>54207.398437500007</v>
      </c>
      <c r="AN21" s="197">
        <f t="shared" si="14"/>
        <v>52458.772681451621</v>
      </c>
      <c r="AO21" s="197">
        <f t="shared" si="14"/>
        <v>54207.398437500007</v>
      </c>
      <c r="AP21" s="197">
        <f t="shared" si="14"/>
        <v>52458.772681451621</v>
      </c>
      <c r="AQ21" s="197">
        <f t="shared" si="14"/>
        <v>55081.711315524204</v>
      </c>
      <c r="AR21" s="197">
        <f t="shared" si="14"/>
        <v>60983.323242187515</v>
      </c>
      <c r="AS21" s="197">
        <f t="shared" si="14"/>
        <v>55081.711315524204</v>
      </c>
      <c r="AT21" s="197">
        <f t="shared" si="14"/>
        <v>56917.768359375012</v>
      </c>
      <c r="AU21" s="197">
        <f t="shared" si="14"/>
        <v>55081.711315524204</v>
      </c>
      <c r="AV21" s="197">
        <f t="shared" si="14"/>
        <v>56917.768359375012</v>
      </c>
      <c r="AW21" s="197">
        <f t="shared" si="14"/>
        <v>55081.711315524204</v>
      </c>
      <c r="AX21" s="197">
        <f t="shared" si="14"/>
        <v>55081.711315524204</v>
      </c>
      <c r="AY21" s="197">
        <f t="shared" si="14"/>
        <v>56917.768359375012</v>
      </c>
      <c r="AZ21" s="197">
        <f t="shared" si="14"/>
        <v>55081.711315524204</v>
      </c>
      <c r="BA21" s="197">
        <f t="shared" si="14"/>
        <v>56917.768359375012</v>
      </c>
      <c r="BB21" s="197">
        <f t="shared" si="14"/>
        <v>55081.711315524204</v>
      </c>
      <c r="BC21" s="197">
        <f t="shared" si="14"/>
        <v>57835.796881300441</v>
      </c>
      <c r="BD21" s="197">
        <f t="shared" si="14"/>
        <v>64032.489404296917</v>
      </c>
      <c r="BE21" s="197">
        <f t="shared" si="14"/>
        <v>57835.796881300441</v>
      </c>
      <c r="BF21" s="197">
        <f t="shared" si="14"/>
        <v>59763.656777343793</v>
      </c>
      <c r="BG21" s="197">
        <f t="shared" si="14"/>
        <v>57835.796881300441</v>
      </c>
      <c r="BH21" s="197">
        <f t="shared" si="14"/>
        <v>59763.656777343793</v>
      </c>
      <c r="BI21" s="197">
        <f t="shared" si="14"/>
        <v>57835.796881300441</v>
      </c>
      <c r="BJ21" s="197">
        <f t="shared" si="14"/>
        <v>25.731483114919364</v>
      </c>
      <c r="BK21" s="102"/>
      <c r="BL21" s="197">
        <f t="shared" si="13"/>
        <v>27499.55197132616</v>
      </c>
      <c r="BM21" s="197">
        <f t="shared" si="13"/>
        <v>552866.64986559155</v>
      </c>
      <c r="BN21" s="197">
        <f t="shared" si="13"/>
        <v>611543.19808467745</v>
      </c>
      <c r="BO21" s="197">
        <f t="shared" si="13"/>
        <v>640117.62159343727</v>
      </c>
      <c r="BP21" s="197">
        <f t="shared" si="13"/>
        <v>674226.37588835682</v>
      </c>
      <c r="BQ21" s="197">
        <f t="shared" si="13"/>
        <v>414928.72196730122</v>
      </c>
    </row>
    <row r="22" spans="1:69">
      <c r="A22" s="210"/>
      <c r="B22" s="210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102"/>
      <c r="BG22" s="102"/>
      <c r="BH22" s="102"/>
      <c r="BI22" s="102"/>
      <c r="BJ22" s="102"/>
      <c r="BK22" s="102"/>
      <c r="BL22" s="211"/>
      <c r="BM22" s="211"/>
      <c r="BN22" s="211"/>
      <c r="BO22" s="211"/>
      <c r="BP22" s="211"/>
      <c r="BQ22" s="102"/>
    </row>
    <row r="23" spans="1:69">
      <c r="A23" s="124" t="s">
        <v>259</v>
      </c>
      <c r="B23" s="124"/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28"/>
      <c r="AO23" s="128"/>
      <c r="AP23" s="128"/>
      <c r="AQ23" s="128"/>
      <c r="AR23" s="128"/>
      <c r="AS23" s="128"/>
      <c r="AT23" s="128"/>
      <c r="AU23" s="128"/>
      <c r="AV23" s="128"/>
      <c r="AW23" s="128"/>
      <c r="AX23" s="128"/>
      <c r="AY23" s="128"/>
      <c r="AZ23" s="128"/>
      <c r="BA23" s="128"/>
      <c r="BB23" s="128"/>
      <c r="BC23" s="128"/>
      <c r="BD23" s="128"/>
      <c r="BE23" s="128"/>
      <c r="BF23" s="128"/>
      <c r="BG23" s="128"/>
      <c r="BH23" s="128"/>
      <c r="BI23" s="128"/>
      <c r="BJ23" s="128"/>
      <c r="BK23" s="102"/>
      <c r="BL23" s="128"/>
      <c r="BM23" s="128"/>
      <c r="BN23" s="128"/>
      <c r="BO23" s="128"/>
      <c r="BP23" s="128"/>
      <c r="BQ23" s="128"/>
    </row>
    <row r="24" spans="1:69">
      <c r="A24" s="207" t="s">
        <v>214</v>
      </c>
      <c r="B24" s="194"/>
      <c r="C24" s="194">
        <f>Выручка!B19*$B34/C$4</f>
        <v>0</v>
      </c>
      <c r="D24" s="194">
        <f>Выручка!C19*$B34/D$4</f>
        <v>0</v>
      </c>
      <c r="E24" s="194">
        <f>Выручка!D19*$B34/E$4</f>
        <v>0</v>
      </c>
      <c r="F24" s="194">
        <f>Выручка!E19*$B34/F$4</f>
        <v>4680.322580645161</v>
      </c>
      <c r="G24" s="194">
        <f>Выручка!F19*$B34/G$4</f>
        <v>9828.677419354839</v>
      </c>
      <c r="H24" s="194">
        <f>Выручка!G19*$B34/H$4</f>
        <v>16322.625000000004</v>
      </c>
      <c r="I24" s="194">
        <f>Выручка!H19*$B34/I$4</f>
        <v>19657.354838709678</v>
      </c>
      <c r="J24" s="194">
        <f>Выручка!I19*$B34/J$4</f>
        <v>25390.750000000004</v>
      </c>
      <c r="K24" s="194">
        <f>Выручка!J19*$B34/K$4</f>
        <v>24571.693548387102</v>
      </c>
      <c r="L24" s="194">
        <f>Выручка!K19*$B34/L$4</f>
        <v>25390.750000000004</v>
      </c>
      <c r="M24" s="194">
        <f>Выручка!L19*$B34/M$4</f>
        <v>24571.693548387102</v>
      </c>
      <c r="N24" s="194">
        <f>Выручка!M19*$B34/N$4</f>
        <v>24571.693548387102</v>
      </c>
      <c r="O24" s="194">
        <f>Выручка!N19*$B34/O$4</f>
        <v>25390.750000000004</v>
      </c>
      <c r="P24" s="194">
        <f>Выручка!O19*$B34/P$4</f>
        <v>24571.693548387102</v>
      </c>
      <c r="Q24" s="194">
        <f>Выручка!P19*$B34/Q$4</f>
        <v>25390.750000000004</v>
      </c>
      <c r="R24" s="194">
        <f>Выручка!Q19*$B34/R$4</f>
        <v>24571.693548387102</v>
      </c>
      <c r="S24" s="194">
        <f>Выручка!R19*$B34/S$4</f>
        <v>25800.278225806458</v>
      </c>
      <c r="T24" s="194">
        <f>Выручка!S19*$B34/T$4</f>
        <v>28564.593750000007</v>
      </c>
      <c r="U24" s="194">
        <f>Выручка!T19*$B34/U$4</f>
        <v>25800.278225806458</v>
      </c>
      <c r="V24" s="194">
        <f>Выручка!U19*$B34/V$4</f>
        <v>26660.287500000009</v>
      </c>
      <c r="W24" s="194">
        <f>Выручка!V19*$B34/W$4</f>
        <v>25800.278225806458</v>
      </c>
      <c r="X24" s="194">
        <f>Выручка!W19*$B34/X$4</f>
        <v>26660.287500000009</v>
      </c>
      <c r="Y24" s="194">
        <f>Выручка!X19*$B34/Y$4</f>
        <v>25800.278225806458</v>
      </c>
      <c r="Z24" s="194">
        <f>Выручка!Y19*$B34/Z$4</f>
        <v>25800.278225806458</v>
      </c>
      <c r="AA24" s="194">
        <f>Выручка!Z19*$B34/AA$4</f>
        <v>26660.287500000009</v>
      </c>
      <c r="AB24" s="194">
        <f>Выручка!AA19*$B34/AB$4</f>
        <v>25800.278225806458</v>
      </c>
      <c r="AC24" s="194">
        <f>Выручка!AB19*$B34/AC$4</f>
        <v>26660.287500000009</v>
      </c>
      <c r="AD24" s="194">
        <f>Выручка!AC19*$B34/AD$4</f>
        <v>25800.278225806458</v>
      </c>
      <c r="AE24" s="194">
        <f>Выручка!AD19*$B34/AE$4</f>
        <v>27090.292137096778</v>
      </c>
      <c r="AF24" s="194">
        <f>Выручка!AE19*$B34/AF$4</f>
        <v>28958.58814655173</v>
      </c>
      <c r="AG24" s="194">
        <f>Выручка!AF19*$B34/AG$4</f>
        <v>27090.292137096778</v>
      </c>
      <c r="AH24" s="194">
        <f>Выручка!B9*$B34/AH$4</f>
        <v>0</v>
      </c>
      <c r="AI24" s="194">
        <f>Выручка!C9*$B34/AI$4</f>
        <v>0</v>
      </c>
      <c r="AJ24" s="194">
        <f>Выручка!D9*$B34/AJ$4</f>
        <v>0</v>
      </c>
      <c r="AK24" s="194">
        <f>Выручка!E9*$B34/AK$4</f>
        <v>781.93548387096803</v>
      </c>
      <c r="AL24" s="194">
        <f>Выручка!F9*$B34/AL$4</f>
        <v>1642.0645161290327</v>
      </c>
      <c r="AM24" s="194">
        <f>Выручка!G9*$B34/AM$4</f>
        <v>2545.2000000000012</v>
      </c>
      <c r="AN24" s="194">
        <f>Выручка!H9*$B34/AN$4</f>
        <v>3284.1290322580653</v>
      </c>
      <c r="AO24" s="194">
        <f>Выручка!I9*$B34/AO$4</f>
        <v>4242.0000000000018</v>
      </c>
      <c r="AP24" s="194">
        <f>Выручка!J9*$B34/AP$4</f>
        <v>4105.1612903225823</v>
      </c>
      <c r="AQ24" s="194">
        <f>Выручка!K9*$B34/AQ$4</f>
        <v>4105.1612903225823</v>
      </c>
      <c r="AR24" s="194">
        <f>Выручка!L9*$B34/AR$4</f>
        <v>4545.0000000000018</v>
      </c>
      <c r="AS24" s="194">
        <f>Выручка!M9*$B34/AS$4</f>
        <v>4105.1612903225823</v>
      </c>
      <c r="AT24" s="194">
        <f>Выручка!N9*$B34/AT$4</f>
        <v>4242.0000000000018</v>
      </c>
      <c r="AU24" s="194">
        <f>Выручка!O9*$B34/AU$4</f>
        <v>4105.1612903225823</v>
      </c>
      <c r="AV24" s="194">
        <f>Выручка!P9*$B34/AV$4</f>
        <v>4242.0000000000018</v>
      </c>
      <c r="AW24" s="194">
        <f>Выручка!Q9*$B34/AW$4</f>
        <v>4105.1612903225823</v>
      </c>
      <c r="AX24" s="194">
        <f>Выручка!R9*$B34/AX$4</f>
        <v>4310.4193548387102</v>
      </c>
      <c r="AY24" s="194">
        <f>Выручка!S9*$B34/AY$4</f>
        <v>4454.1000000000013</v>
      </c>
      <c r="AZ24" s="194">
        <f>Выручка!T9*$B34/AZ$4</f>
        <v>4310.4193548387102</v>
      </c>
      <c r="BA24" s="194">
        <f>Выручка!U9*$B34/BA$4</f>
        <v>4454.1000000000013</v>
      </c>
      <c r="BB24" s="194">
        <f>Выручка!V9*$B34/BB$4</f>
        <v>4310.4193548387102</v>
      </c>
      <c r="BC24" s="194">
        <f>Выручка!W9*$B34/BC$4</f>
        <v>4310.4193548387102</v>
      </c>
      <c r="BD24" s="194">
        <f>Выручка!X9*$B34/BD$4</f>
        <v>4772.2500000000009</v>
      </c>
      <c r="BE24" s="194">
        <f>Выручка!Y9*$B34/BE$4</f>
        <v>4310.4193548387102</v>
      </c>
      <c r="BF24" s="194">
        <f>Выручка!Z9*$B34/BF$4</f>
        <v>4454.1000000000013</v>
      </c>
      <c r="BG24" s="194">
        <f>Выручка!AA9*$B34/BG$4</f>
        <v>4310.4193548387102</v>
      </c>
      <c r="BH24" s="194">
        <f>Выручка!AB9*$B34/BH$4</f>
        <v>4454.1000000000013</v>
      </c>
      <c r="BI24" s="194">
        <f>Выручка!AC9*$B34/BI$4</f>
        <v>4310.4193548387102</v>
      </c>
      <c r="BJ24" s="194">
        <f>Выручка!AD9*$B34/BJ$4</f>
        <v>4525.9403225806482</v>
      </c>
      <c r="BK24" s="102"/>
      <c r="BL24" s="194">
        <f t="shared" ref="BL24:BQ26" si="15">SUMIF($C$2:$BJ$2,BL$2,$C24:$BJ24)</f>
        <v>4680.322580645161</v>
      </c>
      <c r="BM24" s="194">
        <f t="shared" si="15"/>
        <v>270230.125</v>
      </c>
      <c r="BN24" s="194">
        <f t="shared" si="15"/>
        <v>315807.69133064529</v>
      </c>
      <c r="BO24" s="194">
        <f t="shared" si="15"/>
        <v>99739.662743325927</v>
      </c>
      <c r="BP24" s="194">
        <f t="shared" si="15"/>
        <v>51289.103225806466</v>
      </c>
      <c r="BQ24" s="194">
        <f t="shared" si="15"/>
        <v>35448.067741935491</v>
      </c>
    </row>
    <row r="25" spans="1:69">
      <c r="A25" s="207" t="s">
        <v>215</v>
      </c>
      <c r="B25" s="194"/>
      <c r="C25" s="208">
        <v>0</v>
      </c>
      <c r="D25" s="208">
        <v>0</v>
      </c>
      <c r="E25" s="208">
        <v>0</v>
      </c>
      <c r="F25" s="208">
        <v>0</v>
      </c>
      <c r="G25" s="208">
        <v>0</v>
      </c>
      <c r="H25" s="208">
        <v>0</v>
      </c>
      <c r="I25" s="208">
        <v>0</v>
      </c>
      <c r="J25" s="208">
        <v>0</v>
      </c>
      <c r="K25" s="208">
        <v>0</v>
      </c>
      <c r="L25" s="208">
        <v>0</v>
      </c>
      <c r="M25" s="208">
        <v>0</v>
      </c>
      <c r="N25" s="208">
        <v>0</v>
      </c>
      <c r="O25" s="208">
        <v>0</v>
      </c>
      <c r="P25" s="208">
        <v>0</v>
      </c>
      <c r="Q25" s="208">
        <v>0</v>
      </c>
      <c r="R25" s="208">
        <v>0</v>
      </c>
      <c r="S25" s="208">
        <v>0</v>
      </c>
      <c r="T25" s="208">
        <v>0</v>
      </c>
      <c r="U25" s="208">
        <v>0</v>
      </c>
      <c r="V25" s="208">
        <v>0</v>
      </c>
      <c r="W25" s="208">
        <v>0</v>
      </c>
      <c r="X25" s="208">
        <v>0</v>
      </c>
      <c r="Y25" s="208">
        <v>0</v>
      </c>
      <c r="Z25" s="208">
        <v>0</v>
      </c>
      <c r="AA25" s="208">
        <v>0</v>
      </c>
      <c r="AB25" s="208">
        <v>0</v>
      </c>
      <c r="AC25" s="208">
        <v>0</v>
      </c>
      <c r="AD25" s="208">
        <v>0</v>
      </c>
      <c r="AE25" s="208">
        <v>0</v>
      </c>
      <c r="AF25" s="208">
        <v>0</v>
      </c>
      <c r="AG25" s="208">
        <v>0</v>
      </c>
      <c r="AH25" s="208">
        <v>0</v>
      </c>
      <c r="AI25" s="208">
        <v>0</v>
      </c>
      <c r="AJ25" s="208">
        <v>0</v>
      </c>
      <c r="AK25" s="208">
        <v>0</v>
      </c>
      <c r="AL25" s="208">
        <v>0</v>
      </c>
      <c r="AM25" s="208">
        <v>0</v>
      </c>
      <c r="AN25" s="208">
        <v>0</v>
      </c>
      <c r="AO25" s="208">
        <v>0</v>
      </c>
      <c r="AP25" s="208">
        <v>0</v>
      </c>
      <c r="AQ25" s="208">
        <v>0</v>
      </c>
      <c r="AR25" s="208">
        <v>0</v>
      </c>
      <c r="AS25" s="208">
        <v>0</v>
      </c>
      <c r="AT25" s="208">
        <v>0</v>
      </c>
      <c r="AU25" s="208">
        <v>0</v>
      </c>
      <c r="AV25" s="208">
        <v>0</v>
      </c>
      <c r="AW25" s="208">
        <v>0</v>
      </c>
      <c r="AX25" s="208">
        <v>0</v>
      </c>
      <c r="AY25" s="208">
        <v>0</v>
      </c>
      <c r="AZ25" s="208">
        <v>0</v>
      </c>
      <c r="BA25" s="208">
        <v>0</v>
      </c>
      <c r="BB25" s="208">
        <v>0</v>
      </c>
      <c r="BC25" s="208">
        <v>0</v>
      </c>
      <c r="BD25" s="208">
        <v>0</v>
      </c>
      <c r="BE25" s="208">
        <v>0</v>
      </c>
      <c r="BF25" s="208">
        <v>0</v>
      </c>
      <c r="BG25" s="208">
        <v>0</v>
      </c>
      <c r="BH25" s="208">
        <v>0</v>
      </c>
      <c r="BI25" s="208">
        <v>0</v>
      </c>
      <c r="BJ25" s="208">
        <v>0</v>
      </c>
      <c r="BK25" s="102"/>
      <c r="BL25" s="208">
        <f t="shared" si="15"/>
        <v>0</v>
      </c>
      <c r="BM25" s="208">
        <f t="shared" si="15"/>
        <v>0</v>
      </c>
      <c r="BN25" s="208">
        <f t="shared" si="15"/>
        <v>0</v>
      </c>
      <c r="BO25" s="208">
        <f t="shared" si="15"/>
        <v>0</v>
      </c>
      <c r="BP25" s="208">
        <f t="shared" si="15"/>
        <v>0</v>
      </c>
      <c r="BQ25" s="208">
        <f t="shared" si="15"/>
        <v>0</v>
      </c>
    </row>
    <row r="26" spans="1:69">
      <c r="A26" s="124" t="s">
        <v>38</v>
      </c>
      <c r="B26" s="124"/>
      <c r="C26" s="197">
        <f t="shared" ref="C26:BJ26" si="16">SUM(C24:C25)</f>
        <v>0</v>
      </c>
      <c r="D26" s="197">
        <f t="shared" si="16"/>
        <v>0</v>
      </c>
      <c r="E26" s="197">
        <f t="shared" si="16"/>
        <v>0</v>
      </c>
      <c r="F26" s="197">
        <f t="shared" si="16"/>
        <v>4680.322580645161</v>
      </c>
      <c r="G26" s="197">
        <f t="shared" si="16"/>
        <v>9828.677419354839</v>
      </c>
      <c r="H26" s="197">
        <f t="shared" si="16"/>
        <v>16322.625000000004</v>
      </c>
      <c r="I26" s="197">
        <f t="shared" si="16"/>
        <v>19657.354838709678</v>
      </c>
      <c r="J26" s="197">
        <f t="shared" si="16"/>
        <v>25390.750000000004</v>
      </c>
      <c r="K26" s="197">
        <f t="shared" si="16"/>
        <v>24571.693548387102</v>
      </c>
      <c r="L26" s="197">
        <f t="shared" si="16"/>
        <v>25390.750000000004</v>
      </c>
      <c r="M26" s="197">
        <f t="shared" si="16"/>
        <v>24571.693548387102</v>
      </c>
      <c r="N26" s="197">
        <f t="shared" si="16"/>
        <v>24571.693548387102</v>
      </c>
      <c r="O26" s="197">
        <f t="shared" si="16"/>
        <v>25390.750000000004</v>
      </c>
      <c r="P26" s="197">
        <f t="shared" si="16"/>
        <v>24571.693548387102</v>
      </c>
      <c r="Q26" s="197">
        <f t="shared" si="16"/>
        <v>25390.750000000004</v>
      </c>
      <c r="R26" s="197">
        <f t="shared" si="16"/>
        <v>24571.693548387102</v>
      </c>
      <c r="S26" s="197">
        <f t="shared" si="16"/>
        <v>25800.278225806458</v>
      </c>
      <c r="T26" s="197">
        <f t="shared" si="16"/>
        <v>28564.593750000007</v>
      </c>
      <c r="U26" s="197">
        <f t="shared" si="16"/>
        <v>25800.278225806458</v>
      </c>
      <c r="V26" s="197">
        <f t="shared" si="16"/>
        <v>26660.287500000009</v>
      </c>
      <c r="W26" s="197">
        <f t="shared" si="16"/>
        <v>25800.278225806458</v>
      </c>
      <c r="X26" s="197">
        <f t="shared" si="16"/>
        <v>26660.287500000009</v>
      </c>
      <c r="Y26" s="197">
        <f t="shared" si="16"/>
        <v>25800.278225806458</v>
      </c>
      <c r="Z26" s="197">
        <f t="shared" si="16"/>
        <v>25800.278225806458</v>
      </c>
      <c r="AA26" s="197">
        <f t="shared" si="16"/>
        <v>26660.287500000009</v>
      </c>
      <c r="AB26" s="197">
        <f t="shared" si="16"/>
        <v>25800.278225806458</v>
      </c>
      <c r="AC26" s="197">
        <f t="shared" si="16"/>
        <v>26660.287500000009</v>
      </c>
      <c r="AD26" s="197">
        <f t="shared" si="16"/>
        <v>25800.278225806458</v>
      </c>
      <c r="AE26" s="197">
        <f t="shared" si="16"/>
        <v>27090.292137096778</v>
      </c>
      <c r="AF26" s="197">
        <f t="shared" si="16"/>
        <v>28958.58814655173</v>
      </c>
      <c r="AG26" s="197">
        <f t="shared" si="16"/>
        <v>27090.292137096778</v>
      </c>
      <c r="AH26" s="197">
        <f t="shared" si="16"/>
        <v>0</v>
      </c>
      <c r="AI26" s="197">
        <f t="shared" si="16"/>
        <v>0</v>
      </c>
      <c r="AJ26" s="197">
        <f t="shared" si="16"/>
        <v>0</v>
      </c>
      <c r="AK26" s="197">
        <f t="shared" si="16"/>
        <v>781.93548387096803</v>
      </c>
      <c r="AL26" s="197">
        <f t="shared" si="16"/>
        <v>1642.0645161290327</v>
      </c>
      <c r="AM26" s="197">
        <f t="shared" si="16"/>
        <v>2545.2000000000012</v>
      </c>
      <c r="AN26" s="197">
        <f t="shared" si="16"/>
        <v>3284.1290322580653</v>
      </c>
      <c r="AO26" s="197">
        <f t="shared" si="16"/>
        <v>4242.0000000000018</v>
      </c>
      <c r="AP26" s="197">
        <f t="shared" si="16"/>
        <v>4105.1612903225823</v>
      </c>
      <c r="AQ26" s="197">
        <f t="shared" si="16"/>
        <v>4105.1612903225823</v>
      </c>
      <c r="AR26" s="197">
        <f t="shared" si="16"/>
        <v>4545.0000000000018</v>
      </c>
      <c r="AS26" s="197">
        <f t="shared" si="16"/>
        <v>4105.1612903225823</v>
      </c>
      <c r="AT26" s="197">
        <f t="shared" si="16"/>
        <v>4242.0000000000018</v>
      </c>
      <c r="AU26" s="197">
        <f t="shared" si="16"/>
        <v>4105.1612903225823</v>
      </c>
      <c r="AV26" s="197">
        <f t="shared" si="16"/>
        <v>4242.0000000000018</v>
      </c>
      <c r="AW26" s="197">
        <f t="shared" si="16"/>
        <v>4105.1612903225823</v>
      </c>
      <c r="AX26" s="197">
        <f t="shared" si="16"/>
        <v>4310.4193548387102</v>
      </c>
      <c r="AY26" s="197">
        <f t="shared" si="16"/>
        <v>4454.1000000000013</v>
      </c>
      <c r="AZ26" s="197">
        <f t="shared" si="16"/>
        <v>4310.4193548387102</v>
      </c>
      <c r="BA26" s="197">
        <f t="shared" si="16"/>
        <v>4454.1000000000013</v>
      </c>
      <c r="BB26" s="197">
        <f t="shared" si="16"/>
        <v>4310.4193548387102</v>
      </c>
      <c r="BC26" s="197">
        <f t="shared" si="16"/>
        <v>4310.4193548387102</v>
      </c>
      <c r="BD26" s="197">
        <f t="shared" si="16"/>
        <v>4772.2500000000009</v>
      </c>
      <c r="BE26" s="197">
        <f t="shared" si="16"/>
        <v>4310.4193548387102</v>
      </c>
      <c r="BF26" s="197">
        <f t="shared" si="16"/>
        <v>4454.1000000000013</v>
      </c>
      <c r="BG26" s="197">
        <f t="shared" si="16"/>
        <v>4310.4193548387102</v>
      </c>
      <c r="BH26" s="197">
        <f t="shared" si="16"/>
        <v>4454.1000000000013</v>
      </c>
      <c r="BI26" s="197">
        <f t="shared" si="16"/>
        <v>4310.4193548387102</v>
      </c>
      <c r="BJ26" s="197">
        <f t="shared" si="16"/>
        <v>4525.9403225806482</v>
      </c>
      <c r="BK26" s="102"/>
      <c r="BL26" s="197">
        <f t="shared" si="15"/>
        <v>4680.322580645161</v>
      </c>
      <c r="BM26" s="197">
        <f t="shared" si="15"/>
        <v>270230.125</v>
      </c>
      <c r="BN26" s="197">
        <f t="shared" si="15"/>
        <v>315807.69133064529</v>
      </c>
      <c r="BO26" s="197">
        <f t="shared" si="15"/>
        <v>99739.662743325927</v>
      </c>
      <c r="BP26" s="197">
        <f t="shared" si="15"/>
        <v>51289.103225806466</v>
      </c>
      <c r="BQ26" s="197">
        <f t="shared" si="15"/>
        <v>35448.067741935491</v>
      </c>
    </row>
    <row r="27" spans="1:69">
      <c r="A27" s="210"/>
      <c r="B27" s="210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02"/>
      <c r="AN27" s="102"/>
      <c r="AO27" s="102"/>
      <c r="AP27" s="102"/>
      <c r="AQ27" s="102"/>
      <c r="AR27" s="102"/>
      <c r="AS27" s="102"/>
      <c r="AT27" s="102"/>
      <c r="AU27" s="102"/>
      <c r="AV27" s="102"/>
      <c r="AW27" s="102"/>
      <c r="AX27" s="102"/>
      <c r="AY27" s="102"/>
      <c r="AZ27" s="102"/>
      <c r="BA27" s="102"/>
      <c r="BB27" s="102"/>
      <c r="BC27" s="102"/>
      <c r="BD27" s="102"/>
      <c r="BE27" s="102"/>
      <c r="BF27" s="102"/>
      <c r="BG27" s="102"/>
      <c r="BH27" s="102"/>
      <c r="BI27" s="102"/>
      <c r="BJ27" s="102"/>
      <c r="BK27" s="102"/>
      <c r="BL27" s="211"/>
      <c r="BM27" s="211"/>
      <c r="BN27" s="211"/>
      <c r="BO27" s="211"/>
      <c r="BP27" s="211"/>
      <c r="BQ27" s="102"/>
    </row>
    <row r="28" spans="1:69">
      <c r="A28" s="124" t="s">
        <v>260</v>
      </c>
      <c r="B28" s="124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2"/>
      <c r="AR28" s="102"/>
      <c r="AS28" s="102"/>
      <c r="AT28" s="102"/>
      <c r="AU28" s="102"/>
      <c r="AV28" s="102"/>
      <c r="AW28" s="102"/>
      <c r="AX28" s="102"/>
      <c r="AY28" s="102"/>
      <c r="AZ28" s="102"/>
      <c r="BA28" s="102"/>
      <c r="BB28" s="102"/>
      <c r="BC28" s="102"/>
      <c r="BD28" s="102"/>
      <c r="BE28" s="102"/>
      <c r="BF28" s="102"/>
      <c r="BG28" s="102"/>
      <c r="BH28" s="102"/>
      <c r="BI28" s="102"/>
      <c r="BJ28" s="102"/>
      <c r="BK28" s="102"/>
      <c r="BL28" s="211"/>
      <c r="BM28" s="211"/>
      <c r="BN28" s="211"/>
      <c r="BO28" s="211"/>
      <c r="BP28" s="211"/>
      <c r="BQ28" s="102"/>
    </row>
    <row r="29" spans="1:69">
      <c r="A29" s="207" t="s">
        <v>216</v>
      </c>
      <c r="B29" s="194"/>
      <c r="C29" s="194">
        <f>(Затраты!C56+Затраты!C57)*СОК!$B40/СОК!C$4</f>
        <v>822.96499999999992</v>
      </c>
      <c r="D29" s="194">
        <f>(Затраты!D56+Затраты!D57)*СОК!$B40/СОК!D$4</f>
        <v>796.41774193548383</v>
      </c>
      <c r="E29" s="194">
        <f>(Затраты!E56+Затраты!E57)*СОК!$B40/СОК!E$4</f>
        <v>822.96499999999992</v>
      </c>
      <c r="F29" s="194">
        <f>(Затраты!F56+Затраты!F57)*СОК!$B40/СОК!F$4</f>
        <v>4900.2870967741937</v>
      </c>
      <c r="G29" s="194">
        <f>(Затраты!G56+Затраты!G57)*СОК!$B40/СОК!G$4</f>
        <v>5047.2957096774198</v>
      </c>
      <c r="H29" s="194">
        <f>(Затраты!H56+Затраты!H57)*СОК!$B40/СОК!H$4</f>
        <v>5588.0773928571434</v>
      </c>
      <c r="I29" s="194">
        <f>(Затраты!I56+Затраты!I57)*СОК!$B40/СОК!I$4</f>
        <v>5047.2957096774198</v>
      </c>
      <c r="J29" s="194">
        <f>(Затраты!J56+Затраты!J57)*СОК!$B40/СОК!J$4</f>
        <v>5215.5389000000005</v>
      </c>
      <c r="K29" s="194">
        <f>(Затраты!K56+Затраты!K57)*СОК!$B40/СОК!K$4</f>
        <v>5047.2957096774198</v>
      </c>
      <c r="L29" s="194">
        <f>(Затраты!L56+Затраты!L57)*СОК!$B40/СОК!L$4</f>
        <v>5215.5389000000005</v>
      </c>
      <c r="M29" s="194">
        <f>(Затраты!M56+Затраты!M57)*СОК!$B40/СОК!M$4</f>
        <v>5047.2957096774198</v>
      </c>
      <c r="N29" s="194">
        <f>(Затраты!N56+Затраты!N57)*СОК!$B40/СОК!N$4</f>
        <v>5047.2957096774198</v>
      </c>
      <c r="O29" s="194">
        <f>(Затраты!O56+Затраты!O57)*СОК!$B40/СОК!O$4</f>
        <v>5215.5389000000005</v>
      </c>
      <c r="P29" s="194">
        <f>(Затраты!P56+Затраты!P57)*СОК!$B40/СОК!P$4</f>
        <v>5047.2957096774198</v>
      </c>
      <c r="Q29" s="194">
        <f>(Затраты!Q56+Затраты!Q57)*СОК!$B40/СОК!Q$4</f>
        <v>5215.5389000000005</v>
      </c>
      <c r="R29" s="194">
        <f>(Затраты!R56+Затраты!R57)*СОК!$B40/СОК!R$4</f>
        <v>5047.2957096774198</v>
      </c>
      <c r="S29" s="194">
        <f>(Затраты!S56+Затраты!S57)*СОК!$B40/СОК!S$4</f>
        <v>5198.7145809677413</v>
      </c>
      <c r="T29" s="194">
        <f>(Затраты!T56+Затраты!T57)*СОК!$B40/СОК!T$4</f>
        <v>5755.7197146428571</v>
      </c>
      <c r="U29" s="194">
        <f>(Затраты!U56+Затраты!U57)*СОК!$B40/СОК!U$4</f>
        <v>5198.7145809677413</v>
      </c>
      <c r="V29" s="194">
        <f>(Затраты!V56+Затраты!V57)*СОК!$B40/СОК!V$4</f>
        <v>5372.0050670000001</v>
      </c>
      <c r="W29" s="194">
        <f>(Затраты!W56+Затраты!W57)*СОК!$B40/СОК!W$4</f>
        <v>5198.7145809677413</v>
      </c>
      <c r="X29" s="194">
        <f>(Затраты!X56+Затраты!X57)*СОК!$B40/СОК!X$4</f>
        <v>5372.0050670000001</v>
      </c>
      <c r="Y29" s="194">
        <f>(Затраты!Y56+Затраты!Y57)*СОК!$B40/СОК!Y$4</f>
        <v>5198.7145809677413</v>
      </c>
      <c r="Z29" s="194">
        <f>(Затраты!Z56+Затраты!Z57)*СОК!$B40/СОК!Z$4</f>
        <v>5198.7145809677413</v>
      </c>
      <c r="AA29" s="194">
        <f>(Затраты!AA56+Затраты!AA57)*СОК!$B40/СОК!AA$4</f>
        <v>5372.0050670000001</v>
      </c>
      <c r="AB29" s="194">
        <f>(Затраты!AB56+Затраты!AB57)*СОК!$B40/СОК!AB$4</f>
        <v>5198.7145809677413</v>
      </c>
      <c r="AC29" s="194">
        <f>(Затраты!AC56+Затраты!AC57)*СОК!$B40/СОК!AC$4</f>
        <v>5372.0050670000001</v>
      </c>
      <c r="AD29" s="194">
        <f>(Затраты!AD56+Затраты!AD57)*СОК!$B40/СОК!AD$4</f>
        <v>5198.7145809677413</v>
      </c>
      <c r="AE29" s="194">
        <f>(Затраты!AE56+Затраты!AE57)*СОК!$B40/СОК!AE$4</f>
        <v>5354.6760183967735</v>
      </c>
      <c r="AF29" s="194">
        <f>(Затраты!AF56+Затраты!AF57)*СОК!$B40/СОК!AF$4</f>
        <v>5723.9640196655164</v>
      </c>
      <c r="AG29" s="194">
        <f>(Затраты!AG56+Затраты!AG57)*СОК!$B40/СОК!AG$4</f>
        <v>5354.6760183967735</v>
      </c>
      <c r="AH29" s="194">
        <f>(Затраты!AH56+Затраты!AH57)*СОК!$B40/СОК!AH$4</f>
        <v>5533.1652190099994</v>
      </c>
      <c r="AI29" s="194">
        <f>(Затраты!AI56+Затраты!AI57)*СОК!$B40/СОК!AI$4</f>
        <v>5354.6760183967735</v>
      </c>
      <c r="AJ29" s="194">
        <f>(Затраты!AJ56+Затраты!AJ57)*СОК!$B40/СОК!AJ$4</f>
        <v>5533.1652190099994</v>
      </c>
      <c r="AK29" s="194">
        <f>(Затраты!AK56+Затраты!AK57)*СОК!$B40/СОК!AK$4</f>
        <v>5354.6760183967735</v>
      </c>
      <c r="AL29" s="194">
        <f>(Затраты!AL56+Затраты!AL57)*СОК!$B40/СОК!AL$4</f>
        <v>5354.6760183967735</v>
      </c>
      <c r="AM29" s="194">
        <f>(Затраты!AM56+Затраты!AM57)*СОК!$B40/СОК!AM$4</f>
        <v>5533.1652190099994</v>
      </c>
      <c r="AN29" s="194">
        <f>(Затраты!AN56+Затраты!AN57)*СОК!$B40/СОК!AN$4</f>
        <v>5354.6760183967735</v>
      </c>
      <c r="AO29" s="194">
        <f>(Затраты!AO56+Затраты!AO57)*СОК!$B40/СОК!AO$4</f>
        <v>5533.1652190099994</v>
      </c>
      <c r="AP29" s="194">
        <f>(Затраты!AP56+Затраты!AP57)*СОК!$B40/СОК!AP$4</f>
        <v>5354.6760183967735</v>
      </c>
      <c r="AQ29" s="194">
        <f>(Затраты!AQ56+Затраты!AQ57)*СОК!$B40/СОК!AQ$4</f>
        <v>5515.3162989486782</v>
      </c>
      <c r="AR29" s="194">
        <f>(Затраты!AR56+Затраты!AR57)*СОК!$B40/СОК!AR$4</f>
        <v>6106.2430452646076</v>
      </c>
      <c r="AS29" s="194">
        <f>(Затраты!AS56+Затраты!AS57)*СОК!$B40/СОК!AS$4</f>
        <v>5515.3162989486782</v>
      </c>
      <c r="AT29" s="194">
        <f>(Затраты!AT56+Затраты!AT57)*СОК!$B40/СОК!AT$4</f>
        <v>5699.1601755803003</v>
      </c>
      <c r="AU29" s="194">
        <f>(Затраты!AU56+Затраты!AU57)*СОК!$B40/СОК!AU$4</f>
        <v>5515.3162989486782</v>
      </c>
      <c r="AV29" s="194">
        <f>(Затраты!AV56+Затраты!AV57)*СОК!$B40/СОК!AV$4</f>
        <v>5699.1601755803003</v>
      </c>
      <c r="AW29" s="194">
        <f>(Затраты!AW56+Затраты!AW57)*СОК!$B40/СОК!AW$4</f>
        <v>5515.3162989486782</v>
      </c>
      <c r="AX29" s="194">
        <f>(Затраты!AX56+Затраты!AX57)*СОК!$B40/СОК!AX$4</f>
        <v>5515.3162989486782</v>
      </c>
      <c r="AY29" s="194">
        <f>(Затраты!AY56+Затраты!AY57)*СОК!$B40/СОК!AY$4</f>
        <v>5699.1601755803003</v>
      </c>
      <c r="AZ29" s="194">
        <f>(Затраты!AZ56+Затраты!AZ57)*СОК!$B40/СОК!AZ$4</f>
        <v>5515.3162989486782</v>
      </c>
      <c r="BA29" s="194">
        <f>(Затраты!BA56+Затраты!BA57)*СОК!$B40/СОК!BA$4</f>
        <v>5699.1601755803003</v>
      </c>
      <c r="BB29" s="194">
        <f>(Затраты!BB56+Затраты!BB57)*СОК!$B40/СОК!BB$4</f>
        <v>5515.3162989486782</v>
      </c>
      <c r="BC29" s="194">
        <f>(Затраты!BC56+Затраты!BC57)*СОК!$B40/СОК!BC$4</f>
        <v>5680.7757879171368</v>
      </c>
      <c r="BD29" s="194">
        <f>(Затраты!BD56+Затраты!BD57)*СОК!$B40/СОК!BD$4</f>
        <v>6289.430336622544</v>
      </c>
      <c r="BE29" s="194">
        <f>(Затраты!BE56+Затраты!BE57)*СОК!$B40/СОК!BE$4</f>
        <v>5680.7757879171368</v>
      </c>
      <c r="BF29" s="194">
        <f>(Затраты!BF56+Затраты!BF57)*СОК!$B40/СОК!BF$4</f>
        <v>5870.134980847708</v>
      </c>
      <c r="BG29" s="194">
        <f>(Затраты!BG56+Затраты!BG57)*СОК!$B40/СОК!BG$4</f>
        <v>5680.7757879171368</v>
      </c>
      <c r="BH29" s="194">
        <f>(Затраты!BH56+Затраты!BH57)*СОК!$B40/СОК!BH$4</f>
        <v>5870.134980847708</v>
      </c>
      <c r="BI29" s="194">
        <f>(Затраты!BI56+Затраты!BI57)*СОК!$B40/СОК!BI$4</f>
        <v>5680.7757879171368</v>
      </c>
      <c r="BJ29" s="194">
        <f>(Затраты!BJ56+Затраты!BJ57)*СОК!$B40/СОК!BJ$4</f>
        <v>5680.7757879171368</v>
      </c>
      <c r="BK29" s="102"/>
      <c r="BL29" s="194">
        <f t="shared" ref="BL29:BQ30" si="17">SUMIF($C$2:$BJ$2,BL$2,$C29:$BJ29)</f>
        <v>7342.6348387096778</v>
      </c>
      <c r="BM29" s="194">
        <f t="shared" si="17"/>
        <v>61781.302960599074</v>
      </c>
      <c r="BN29" s="194">
        <f t="shared" si="17"/>
        <v>63634.742049417036</v>
      </c>
      <c r="BO29" s="194">
        <f t="shared" si="17"/>
        <v>65339.357024482917</v>
      </c>
      <c r="BP29" s="194">
        <f t="shared" si="17"/>
        <v>67510.097840226561</v>
      </c>
      <c r="BQ29" s="194">
        <f t="shared" si="17"/>
        <v>46433.579237903643</v>
      </c>
    </row>
    <row r="30" spans="1:69">
      <c r="A30" s="124" t="s">
        <v>38</v>
      </c>
      <c r="B30" s="124"/>
      <c r="C30" s="197">
        <f>SUM(C29:C29)</f>
        <v>822.96499999999992</v>
      </c>
      <c r="D30" s="197">
        <f t="shared" ref="D30:BJ30" si="18">SUM(D29:D29)</f>
        <v>796.41774193548383</v>
      </c>
      <c r="E30" s="197">
        <f t="shared" si="18"/>
        <v>822.96499999999992</v>
      </c>
      <c r="F30" s="197">
        <f t="shared" si="18"/>
        <v>4900.2870967741937</v>
      </c>
      <c r="G30" s="197">
        <f t="shared" si="18"/>
        <v>5047.2957096774198</v>
      </c>
      <c r="H30" s="197">
        <f t="shared" si="18"/>
        <v>5588.0773928571434</v>
      </c>
      <c r="I30" s="197">
        <f t="shared" si="18"/>
        <v>5047.2957096774198</v>
      </c>
      <c r="J30" s="197">
        <f t="shared" si="18"/>
        <v>5215.5389000000005</v>
      </c>
      <c r="K30" s="197">
        <f t="shared" si="18"/>
        <v>5047.2957096774198</v>
      </c>
      <c r="L30" s="197">
        <f t="shared" si="18"/>
        <v>5215.5389000000005</v>
      </c>
      <c r="M30" s="197">
        <f t="shared" si="18"/>
        <v>5047.2957096774198</v>
      </c>
      <c r="N30" s="197">
        <f t="shared" si="18"/>
        <v>5047.2957096774198</v>
      </c>
      <c r="O30" s="197">
        <f t="shared" si="18"/>
        <v>5215.5389000000005</v>
      </c>
      <c r="P30" s="197">
        <f t="shared" si="18"/>
        <v>5047.2957096774198</v>
      </c>
      <c r="Q30" s="197">
        <f t="shared" si="18"/>
        <v>5215.5389000000005</v>
      </c>
      <c r="R30" s="197">
        <f t="shared" si="18"/>
        <v>5047.2957096774198</v>
      </c>
      <c r="S30" s="197">
        <f t="shared" si="18"/>
        <v>5198.7145809677413</v>
      </c>
      <c r="T30" s="197">
        <f t="shared" si="18"/>
        <v>5755.7197146428571</v>
      </c>
      <c r="U30" s="197">
        <f t="shared" si="18"/>
        <v>5198.7145809677413</v>
      </c>
      <c r="V30" s="197">
        <f t="shared" si="18"/>
        <v>5372.0050670000001</v>
      </c>
      <c r="W30" s="197">
        <f t="shared" si="18"/>
        <v>5198.7145809677413</v>
      </c>
      <c r="X30" s="197">
        <f t="shared" si="18"/>
        <v>5372.0050670000001</v>
      </c>
      <c r="Y30" s="197">
        <f t="shared" si="18"/>
        <v>5198.7145809677413</v>
      </c>
      <c r="Z30" s="197">
        <f t="shared" si="18"/>
        <v>5198.7145809677413</v>
      </c>
      <c r="AA30" s="197">
        <f t="shared" si="18"/>
        <v>5372.0050670000001</v>
      </c>
      <c r="AB30" s="197">
        <f t="shared" si="18"/>
        <v>5198.7145809677413</v>
      </c>
      <c r="AC30" s="197">
        <f t="shared" si="18"/>
        <v>5372.0050670000001</v>
      </c>
      <c r="AD30" s="197">
        <f t="shared" si="18"/>
        <v>5198.7145809677413</v>
      </c>
      <c r="AE30" s="197">
        <f t="shared" si="18"/>
        <v>5354.6760183967735</v>
      </c>
      <c r="AF30" s="197">
        <f t="shared" si="18"/>
        <v>5723.9640196655164</v>
      </c>
      <c r="AG30" s="197">
        <f t="shared" si="18"/>
        <v>5354.6760183967735</v>
      </c>
      <c r="AH30" s="197">
        <f t="shared" si="18"/>
        <v>5533.1652190099994</v>
      </c>
      <c r="AI30" s="197">
        <f t="shared" si="18"/>
        <v>5354.6760183967735</v>
      </c>
      <c r="AJ30" s="197">
        <f t="shared" si="18"/>
        <v>5533.1652190099994</v>
      </c>
      <c r="AK30" s="197">
        <f t="shared" si="18"/>
        <v>5354.6760183967735</v>
      </c>
      <c r="AL30" s="197">
        <f t="shared" si="18"/>
        <v>5354.6760183967735</v>
      </c>
      <c r="AM30" s="197">
        <f t="shared" si="18"/>
        <v>5533.1652190099994</v>
      </c>
      <c r="AN30" s="197">
        <f t="shared" si="18"/>
        <v>5354.6760183967735</v>
      </c>
      <c r="AO30" s="197">
        <f t="shared" si="18"/>
        <v>5533.1652190099994</v>
      </c>
      <c r="AP30" s="197">
        <f t="shared" si="18"/>
        <v>5354.6760183967735</v>
      </c>
      <c r="AQ30" s="197">
        <f t="shared" si="18"/>
        <v>5515.3162989486782</v>
      </c>
      <c r="AR30" s="197">
        <f t="shared" si="18"/>
        <v>6106.2430452646076</v>
      </c>
      <c r="AS30" s="197">
        <f t="shared" si="18"/>
        <v>5515.3162989486782</v>
      </c>
      <c r="AT30" s="197">
        <f t="shared" si="18"/>
        <v>5699.1601755803003</v>
      </c>
      <c r="AU30" s="197">
        <f t="shared" si="18"/>
        <v>5515.3162989486782</v>
      </c>
      <c r="AV30" s="197">
        <f t="shared" si="18"/>
        <v>5699.1601755803003</v>
      </c>
      <c r="AW30" s="197">
        <f t="shared" si="18"/>
        <v>5515.3162989486782</v>
      </c>
      <c r="AX30" s="197">
        <f t="shared" si="18"/>
        <v>5515.3162989486782</v>
      </c>
      <c r="AY30" s="197">
        <f t="shared" si="18"/>
        <v>5699.1601755803003</v>
      </c>
      <c r="AZ30" s="197">
        <f t="shared" si="18"/>
        <v>5515.3162989486782</v>
      </c>
      <c r="BA30" s="197">
        <f t="shared" si="18"/>
        <v>5699.1601755803003</v>
      </c>
      <c r="BB30" s="197">
        <f t="shared" si="18"/>
        <v>5515.3162989486782</v>
      </c>
      <c r="BC30" s="197">
        <f t="shared" si="18"/>
        <v>5680.7757879171368</v>
      </c>
      <c r="BD30" s="197">
        <f t="shared" si="18"/>
        <v>6289.430336622544</v>
      </c>
      <c r="BE30" s="197">
        <f t="shared" si="18"/>
        <v>5680.7757879171368</v>
      </c>
      <c r="BF30" s="197">
        <f t="shared" si="18"/>
        <v>5870.134980847708</v>
      </c>
      <c r="BG30" s="197">
        <f t="shared" si="18"/>
        <v>5680.7757879171368</v>
      </c>
      <c r="BH30" s="197">
        <f t="shared" si="18"/>
        <v>5870.134980847708</v>
      </c>
      <c r="BI30" s="197">
        <f t="shared" si="18"/>
        <v>5680.7757879171368</v>
      </c>
      <c r="BJ30" s="197">
        <f t="shared" si="18"/>
        <v>5680.7757879171368</v>
      </c>
      <c r="BK30" s="102"/>
      <c r="BL30" s="197">
        <f t="shared" si="17"/>
        <v>7342.6348387096778</v>
      </c>
      <c r="BM30" s="197">
        <f t="shared" si="17"/>
        <v>61781.302960599074</v>
      </c>
      <c r="BN30" s="197">
        <f t="shared" si="17"/>
        <v>63634.742049417036</v>
      </c>
      <c r="BO30" s="197">
        <f t="shared" si="17"/>
        <v>65339.357024482917</v>
      </c>
      <c r="BP30" s="197">
        <f t="shared" si="17"/>
        <v>67510.097840226561</v>
      </c>
      <c r="BQ30" s="197">
        <f t="shared" si="17"/>
        <v>46433.579237903643</v>
      </c>
    </row>
    <row r="31" spans="1:69">
      <c r="A31" s="210"/>
      <c r="B31" s="210"/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8"/>
      <c r="AM31" s="128"/>
      <c r="AN31" s="128"/>
      <c r="AO31" s="128"/>
      <c r="AP31" s="128"/>
      <c r="AQ31" s="128"/>
      <c r="AR31" s="128"/>
      <c r="AS31" s="128"/>
      <c r="AT31" s="128"/>
      <c r="AU31" s="128"/>
      <c r="AV31" s="128"/>
      <c r="AW31" s="128"/>
      <c r="AX31" s="128"/>
      <c r="AY31" s="128"/>
      <c r="AZ31" s="128"/>
      <c r="BA31" s="128"/>
      <c r="BB31" s="128"/>
      <c r="BC31" s="128"/>
      <c r="BD31" s="128"/>
      <c r="BE31" s="128"/>
      <c r="BF31" s="128"/>
      <c r="BG31" s="128"/>
      <c r="BH31" s="128"/>
      <c r="BI31" s="128"/>
      <c r="BJ31" s="128"/>
      <c r="BK31" s="102"/>
      <c r="BL31" s="128"/>
      <c r="BM31" s="128"/>
      <c r="BN31" s="128"/>
      <c r="BO31" s="128"/>
      <c r="BP31" s="128"/>
      <c r="BQ31" s="128"/>
    </row>
    <row r="32" spans="1:69">
      <c r="A32" s="210"/>
      <c r="B32" s="210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8"/>
      <c r="AM32" s="128"/>
      <c r="AN32" s="128"/>
      <c r="AO32" s="128"/>
      <c r="AP32" s="128"/>
      <c r="AQ32" s="128"/>
      <c r="AR32" s="128"/>
      <c r="AS32" s="128"/>
      <c r="AT32" s="128"/>
      <c r="AU32" s="128"/>
      <c r="AV32" s="128"/>
      <c r="AW32" s="128"/>
      <c r="AX32" s="128"/>
      <c r="AY32" s="128"/>
      <c r="AZ32" s="128"/>
      <c r="BA32" s="128"/>
      <c r="BB32" s="128"/>
      <c r="BC32" s="128"/>
      <c r="BD32" s="128"/>
      <c r="BE32" s="128"/>
      <c r="BF32" s="128"/>
      <c r="BG32" s="128"/>
      <c r="BH32" s="128"/>
      <c r="BI32" s="128"/>
      <c r="BJ32" s="128"/>
      <c r="BK32" s="102"/>
      <c r="BL32" s="128"/>
      <c r="BM32" s="128"/>
      <c r="BN32" s="128"/>
      <c r="BO32" s="128"/>
      <c r="BP32" s="128"/>
      <c r="BQ32" s="128"/>
    </row>
    <row r="33" spans="1:69">
      <c r="A33" s="124" t="s">
        <v>217</v>
      </c>
      <c r="B33" s="124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8"/>
      <c r="AJ33" s="128"/>
      <c r="AK33" s="128"/>
      <c r="AL33" s="128"/>
      <c r="AM33" s="128"/>
      <c r="AN33" s="128"/>
      <c r="AO33" s="128"/>
      <c r="AP33" s="128"/>
      <c r="AQ33" s="128"/>
      <c r="AR33" s="128"/>
      <c r="AS33" s="128"/>
      <c r="AT33" s="128"/>
      <c r="AU33" s="128"/>
      <c r="AV33" s="128"/>
      <c r="AW33" s="128"/>
      <c r="AX33" s="128"/>
      <c r="AY33" s="128"/>
      <c r="AZ33" s="128"/>
      <c r="BA33" s="128"/>
      <c r="BB33" s="128"/>
      <c r="BC33" s="128"/>
      <c r="BD33" s="128"/>
      <c r="BE33" s="128"/>
      <c r="BF33" s="128"/>
      <c r="BG33" s="128"/>
      <c r="BH33" s="128"/>
      <c r="BI33" s="128"/>
      <c r="BJ33" s="128"/>
      <c r="BK33" s="102"/>
      <c r="BL33" s="128"/>
      <c r="BM33" s="128"/>
      <c r="BN33" s="128"/>
      <c r="BO33" s="128"/>
      <c r="BP33" s="128"/>
      <c r="BQ33" s="128"/>
    </row>
    <row r="34" spans="1:69">
      <c r="A34" s="105" t="s">
        <v>214</v>
      </c>
      <c r="B34" s="212">
        <v>3</v>
      </c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8"/>
      <c r="AM34" s="128"/>
      <c r="AN34" s="128"/>
      <c r="AO34" s="128"/>
      <c r="AP34" s="128"/>
      <c r="AQ34" s="128"/>
      <c r="AR34" s="128"/>
      <c r="AS34" s="128"/>
      <c r="AT34" s="128"/>
      <c r="AU34" s="128"/>
      <c r="AV34" s="128"/>
      <c r="AW34" s="128"/>
      <c r="AX34" s="128"/>
      <c r="AY34" s="128"/>
      <c r="AZ34" s="128"/>
      <c r="BA34" s="128"/>
      <c r="BB34" s="128"/>
      <c r="BC34" s="128"/>
      <c r="BD34" s="128"/>
      <c r="BE34" s="128"/>
      <c r="BF34" s="128"/>
      <c r="BG34" s="128"/>
      <c r="BH34" s="128"/>
      <c r="BI34" s="128"/>
      <c r="BJ34" s="128"/>
      <c r="BK34" s="102"/>
      <c r="BL34" s="128"/>
      <c r="BM34" s="128"/>
      <c r="BN34" s="128"/>
      <c r="BO34" s="128"/>
      <c r="BP34" s="128"/>
      <c r="BQ34" s="128"/>
    </row>
    <row r="35" spans="1:69">
      <c r="A35" s="105" t="s">
        <v>215</v>
      </c>
      <c r="B35" s="212">
        <v>7</v>
      </c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8"/>
      <c r="AJ35" s="128"/>
      <c r="AK35" s="128"/>
      <c r="AL35" s="128"/>
      <c r="AM35" s="128"/>
      <c r="AN35" s="128"/>
      <c r="AO35" s="128"/>
      <c r="AP35" s="128"/>
      <c r="AQ35" s="128"/>
      <c r="AR35" s="128"/>
      <c r="AS35" s="128"/>
      <c r="AT35" s="128"/>
      <c r="AU35" s="128"/>
      <c r="AV35" s="128"/>
      <c r="AW35" s="128"/>
      <c r="AX35" s="128"/>
      <c r="AY35" s="128"/>
      <c r="AZ35" s="128"/>
      <c r="BA35" s="128"/>
      <c r="BB35" s="128"/>
      <c r="BC35" s="128"/>
      <c r="BD35" s="128"/>
      <c r="BE35" s="128"/>
      <c r="BF35" s="128"/>
      <c r="BG35" s="128"/>
      <c r="BH35" s="128"/>
      <c r="BI35" s="128"/>
      <c r="BJ35" s="128"/>
      <c r="BK35" s="102"/>
      <c r="BL35" s="128"/>
      <c r="BM35" s="128"/>
      <c r="BN35" s="128"/>
      <c r="BO35" s="128"/>
      <c r="BP35" s="128"/>
      <c r="BQ35" s="128"/>
    </row>
    <row r="36" spans="1:69">
      <c r="A36" s="105" t="s">
        <v>213</v>
      </c>
      <c r="B36" s="212">
        <v>10</v>
      </c>
      <c r="C36" s="128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8"/>
      <c r="AJ36" s="128"/>
      <c r="AK36" s="128"/>
      <c r="AL36" s="128"/>
      <c r="AM36" s="128"/>
      <c r="AN36" s="128"/>
      <c r="AO36" s="128"/>
      <c r="AP36" s="128"/>
      <c r="AQ36" s="128"/>
      <c r="AR36" s="128"/>
      <c r="AS36" s="128"/>
      <c r="AT36" s="128"/>
      <c r="AU36" s="128"/>
      <c r="AV36" s="128"/>
      <c r="AW36" s="128"/>
      <c r="AX36" s="128"/>
      <c r="AY36" s="128"/>
      <c r="AZ36" s="128"/>
      <c r="BA36" s="128"/>
      <c r="BB36" s="128"/>
      <c r="BC36" s="128"/>
      <c r="BD36" s="128"/>
      <c r="BE36" s="128"/>
      <c r="BF36" s="128"/>
      <c r="BG36" s="128"/>
      <c r="BH36" s="128"/>
      <c r="BI36" s="128"/>
      <c r="BJ36" s="128"/>
      <c r="BK36" s="102"/>
      <c r="BL36" s="128"/>
      <c r="BM36" s="128"/>
      <c r="BN36" s="128"/>
      <c r="BO36" s="128"/>
      <c r="BP36" s="128"/>
      <c r="BQ36" s="128"/>
    </row>
    <row r="37" spans="1:69">
      <c r="A37" s="105" t="s">
        <v>212</v>
      </c>
      <c r="B37" s="212">
        <v>15</v>
      </c>
      <c r="C37" s="128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  <c r="X37" s="128"/>
      <c r="Y37" s="128"/>
      <c r="Z37" s="128"/>
      <c r="AA37" s="128"/>
      <c r="AB37" s="128"/>
      <c r="AC37" s="128"/>
      <c r="AD37" s="128"/>
      <c r="AE37" s="128"/>
      <c r="AF37" s="128"/>
      <c r="AG37" s="128"/>
      <c r="AH37" s="128"/>
      <c r="AI37" s="128"/>
      <c r="AJ37" s="128"/>
      <c r="AK37" s="128"/>
      <c r="AL37" s="128"/>
      <c r="AM37" s="128"/>
      <c r="AN37" s="128"/>
      <c r="AO37" s="128"/>
      <c r="AP37" s="128"/>
      <c r="AQ37" s="128"/>
      <c r="AR37" s="128"/>
      <c r="AS37" s="128"/>
      <c r="AT37" s="128"/>
      <c r="AU37" s="128"/>
      <c r="AV37" s="128"/>
      <c r="AW37" s="128"/>
      <c r="AX37" s="128"/>
      <c r="AY37" s="128"/>
      <c r="AZ37" s="128"/>
      <c r="BA37" s="128"/>
      <c r="BB37" s="128"/>
      <c r="BC37" s="128"/>
      <c r="BD37" s="128"/>
      <c r="BE37" s="128"/>
      <c r="BF37" s="128"/>
      <c r="BG37" s="128"/>
      <c r="BH37" s="128"/>
      <c r="BI37" s="128"/>
      <c r="BJ37" s="128"/>
      <c r="BK37" s="102"/>
      <c r="BL37" s="128"/>
      <c r="BM37" s="128"/>
      <c r="BN37" s="128"/>
      <c r="BO37" s="128"/>
      <c r="BP37" s="128"/>
      <c r="BQ37" s="128"/>
    </row>
    <row r="38" spans="1:69">
      <c r="A38" s="105" t="s">
        <v>197</v>
      </c>
      <c r="B38" s="212">
        <v>14</v>
      </c>
      <c r="C38" s="211"/>
      <c r="D38" s="211"/>
      <c r="E38" s="211"/>
      <c r="F38" s="211"/>
      <c r="G38" s="211"/>
      <c r="H38" s="211"/>
      <c r="I38" s="211"/>
      <c r="J38" s="211"/>
      <c r="K38" s="211"/>
      <c r="L38" s="211"/>
      <c r="M38" s="211"/>
      <c r="N38" s="211"/>
      <c r="O38" s="211"/>
      <c r="P38" s="211"/>
      <c r="Q38" s="211"/>
      <c r="R38" s="211"/>
      <c r="S38" s="211"/>
      <c r="T38" s="211"/>
      <c r="U38" s="211"/>
      <c r="V38" s="211"/>
      <c r="W38" s="211"/>
      <c r="X38" s="211"/>
      <c r="Y38" s="211"/>
      <c r="Z38" s="211"/>
      <c r="AA38" s="211"/>
      <c r="AB38" s="211"/>
      <c r="AC38" s="211"/>
      <c r="AD38" s="211"/>
      <c r="AE38" s="211"/>
      <c r="AF38" s="211"/>
      <c r="AG38" s="211"/>
      <c r="AH38" s="211"/>
      <c r="AI38" s="211"/>
      <c r="AJ38" s="211"/>
      <c r="AK38" s="211"/>
      <c r="AL38" s="211"/>
      <c r="AM38" s="211"/>
      <c r="AN38" s="211"/>
      <c r="AO38" s="211"/>
      <c r="AP38" s="211"/>
      <c r="AQ38" s="211"/>
      <c r="AR38" s="211"/>
      <c r="AS38" s="211"/>
      <c r="AT38" s="211"/>
      <c r="AU38" s="211"/>
      <c r="AV38" s="211"/>
      <c r="AW38" s="211"/>
      <c r="AX38" s="211"/>
      <c r="AY38" s="211"/>
      <c r="AZ38" s="211"/>
      <c r="BA38" s="211"/>
      <c r="BB38" s="211"/>
      <c r="BC38" s="211"/>
      <c r="BD38" s="211"/>
      <c r="BE38" s="211"/>
      <c r="BF38" s="211"/>
      <c r="BG38" s="211"/>
      <c r="BH38" s="211"/>
      <c r="BI38" s="211"/>
      <c r="BJ38" s="211"/>
      <c r="BK38" s="102"/>
      <c r="BL38" s="211"/>
      <c r="BM38" s="211"/>
      <c r="BN38" s="211"/>
      <c r="BO38" s="211"/>
      <c r="BP38" s="211"/>
      <c r="BQ38" s="211"/>
    </row>
    <row r="39" spans="1:69">
      <c r="A39" s="105" t="s">
        <v>205</v>
      </c>
      <c r="B39" s="212">
        <v>30</v>
      </c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8"/>
      <c r="AM39" s="128"/>
      <c r="AN39" s="128"/>
      <c r="AO39" s="128"/>
      <c r="AP39" s="128"/>
      <c r="AQ39" s="128"/>
      <c r="AR39" s="128"/>
      <c r="AS39" s="128"/>
      <c r="AT39" s="128"/>
      <c r="AU39" s="128"/>
      <c r="AV39" s="128"/>
      <c r="AW39" s="128"/>
      <c r="AX39" s="128"/>
      <c r="AY39" s="128"/>
      <c r="AZ39" s="128"/>
      <c r="BA39" s="128"/>
      <c r="BB39" s="128"/>
      <c r="BC39" s="128"/>
      <c r="BD39" s="128"/>
      <c r="BE39" s="128"/>
      <c r="BF39" s="128"/>
      <c r="BG39" s="128"/>
      <c r="BH39" s="128"/>
      <c r="BI39" s="128"/>
      <c r="BJ39" s="128"/>
      <c r="BK39" s="102"/>
      <c r="BL39" s="211"/>
      <c r="BM39" s="211"/>
      <c r="BN39" s="211"/>
      <c r="BO39" s="211"/>
      <c r="BP39" s="211"/>
      <c r="BQ39" s="211"/>
    </row>
    <row r="40" spans="1:69" s="214" customFormat="1">
      <c r="A40" s="105" t="s">
        <v>216</v>
      </c>
      <c r="B40" s="212">
        <v>15</v>
      </c>
      <c r="C40" s="211"/>
      <c r="D40" s="211"/>
      <c r="E40" s="211"/>
      <c r="F40" s="211"/>
      <c r="G40" s="211"/>
      <c r="H40" s="211"/>
      <c r="I40" s="211"/>
      <c r="J40" s="211"/>
      <c r="K40" s="211"/>
      <c r="L40" s="211"/>
      <c r="M40" s="211"/>
      <c r="N40" s="211"/>
      <c r="O40" s="211"/>
      <c r="P40" s="211"/>
      <c r="Q40" s="211"/>
      <c r="R40" s="211"/>
      <c r="S40" s="211"/>
      <c r="T40" s="211"/>
      <c r="U40" s="211"/>
      <c r="V40" s="211"/>
      <c r="W40" s="211"/>
      <c r="X40" s="211"/>
      <c r="Y40" s="211"/>
      <c r="Z40" s="211"/>
      <c r="AA40" s="211"/>
      <c r="AB40" s="211"/>
      <c r="AC40" s="211"/>
      <c r="AD40" s="211"/>
      <c r="AE40" s="211"/>
      <c r="AF40" s="211"/>
      <c r="AG40" s="211"/>
      <c r="AH40" s="211"/>
      <c r="AI40" s="211"/>
      <c r="AJ40" s="211"/>
      <c r="AK40" s="211"/>
      <c r="AL40" s="211"/>
      <c r="AM40" s="211"/>
      <c r="AN40" s="211"/>
      <c r="AO40" s="211"/>
      <c r="AP40" s="211"/>
      <c r="AQ40" s="211"/>
      <c r="AR40" s="211"/>
      <c r="AS40" s="211"/>
      <c r="AT40" s="211"/>
      <c r="AU40" s="211"/>
      <c r="AV40" s="211"/>
      <c r="AW40" s="211"/>
      <c r="AX40" s="211"/>
      <c r="AY40" s="211"/>
      <c r="AZ40" s="211"/>
      <c r="BA40" s="211"/>
      <c r="BB40" s="211"/>
      <c r="BC40" s="211"/>
      <c r="BD40" s="211"/>
      <c r="BE40" s="211"/>
      <c r="BF40" s="211"/>
      <c r="BG40" s="211"/>
      <c r="BH40" s="211"/>
      <c r="BI40" s="211"/>
      <c r="BJ40" s="211"/>
      <c r="BK40" s="213"/>
      <c r="BL40" s="211"/>
      <c r="BM40" s="211"/>
      <c r="BN40" s="211"/>
      <c r="BO40" s="211"/>
      <c r="BP40" s="211"/>
      <c r="BQ40" s="211"/>
    </row>
    <row r="41" spans="1:69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02"/>
      <c r="W41" s="102"/>
      <c r="X41" s="102"/>
      <c r="Y41" s="102"/>
      <c r="Z41" s="102"/>
      <c r="AA41" s="102"/>
      <c r="AB41" s="102"/>
      <c r="AC41" s="102"/>
      <c r="AD41" s="102"/>
      <c r="AE41" s="102"/>
      <c r="AF41" s="102"/>
      <c r="AG41" s="102"/>
      <c r="AH41" s="102"/>
      <c r="AI41" s="102"/>
      <c r="AJ41" s="102"/>
      <c r="AK41" s="102"/>
      <c r="AL41" s="102"/>
      <c r="AM41" s="102"/>
      <c r="AN41" s="102"/>
      <c r="AO41" s="102"/>
      <c r="AP41" s="102"/>
      <c r="AQ41" s="102"/>
      <c r="AR41" s="102"/>
      <c r="AS41" s="102"/>
      <c r="AT41" s="102"/>
      <c r="AU41" s="102"/>
      <c r="AV41" s="102"/>
      <c r="AW41" s="102"/>
      <c r="AX41" s="102"/>
      <c r="AY41" s="102"/>
      <c r="AZ41" s="102"/>
      <c r="BA41" s="102"/>
      <c r="BB41" s="102"/>
      <c r="BC41" s="102"/>
      <c r="BD41" s="102"/>
      <c r="BE41" s="102"/>
      <c r="BF41" s="102"/>
      <c r="BG41" s="102"/>
      <c r="BH41" s="102"/>
      <c r="BI41" s="102"/>
      <c r="BJ41" s="102"/>
      <c r="BK41" s="102"/>
      <c r="BL41" s="211"/>
      <c r="BM41" s="211"/>
      <c r="BN41" s="211"/>
      <c r="BO41" s="211"/>
      <c r="BP41" s="102"/>
      <c r="BQ41" s="102"/>
    </row>
    <row r="42" spans="1:69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  <c r="T42" s="102"/>
      <c r="U42" s="102"/>
      <c r="V42" s="102"/>
      <c r="W42" s="102"/>
      <c r="X42" s="102"/>
      <c r="Y42" s="102"/>
      <c r="Z42" s="102"/>
      <c r="AA42" s="102"/>
      <c r="AB42" s="102"/>
      <c r="AC42" s="102"/>
      <c r="AD42" s="102"/>
      <c r="AE42" s="102"/>
      <c r="AF42" s="102"/>
      <c r="AG42" s="102"/>
      <c r="AH42" s="102"/>
      <c r="AI42" s="102"/>
      <c r="AJ42" s="102"/>
      <c r="AK42" s="102"/>
      <c r="AL42" s="102"/>
      <c r="AM42" s="102"/>
      <c r="AN42" s="102"/>
      <c r="AO42" s="102"/>
      <c r="AP42" s="102"/>
      <c r="AQ42" s="102"/>
      <c r="AR42" s="102"/>
      <c r="AS42" s="102"/>
      <c r="AT42" s="102"/>
      <c r="AU42" s="102"/>
      <c r="AV42" s="102"/>
      <c r="AW42" s="102"/>
      <c r="AX42" s="102"/>
      <c r="AY42" s="102"/>
      <c r="AZ42" s="102"/>
      <c r="BA42" s="102"/>
      <c r="BB42" s="102"/>
      <c r="BC42" s="102"/>
      <c r="BD42" s="102"/>
      <c r="BE42" s="102"/>
      <c r="BF42" s="102"/>
      <c r="BG42" s="102"/>
      <c r="BH42" s="102"/>
      <c r="BI42" s="102"/>
      <c r="BJ42" s="102"/>
      <c r="BK42" s="102"/>
      <c r="BL42" s="211"/>
      <c r="BM42" s="211"/>
      <c r="BN42" s="211"/>
      <c r="BO42" s="211"/>
      <c r="BP42" s="102"/>
      <c r="BQ42" s="102"/>
    </row>
    <row r="43" spans="1:69">
      <c r="A43" s="102"/>
      <c r="B43" s="102"/>
      <c r="C43" s="102"/>
      <c r="D43" s="102"/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2"/>
      <c r="Q43" s="102"/>
      <c r="R43" s="102"/>
      <c r="S43" s="102"/>
      <c r="T43" s="102"/>
      <c r="U43" s="102"/>
      <c r="V43" s="102"/>
      <c r="W43" s="102"/>
      <c r="X43" s="102"/>
      <c r="Y43" s="102"/>
      <c r="Z43" s="102"/>
      <c r="AA43" s="102"/>
      <c r="AB43" s="102"/>
      <c r="AC43" s="102"/>
      <c r="AD43" s="102"/>
      <c r="AE43" s="102"/>
      <c r="AF43" s="102"/>
      <c r="AG43" s="102"/>
      <c r="AH43" s="102"/>
      <c r="AI43" s="102"/>
      <c r="AJ43" s="102"/>
      <c r="AK43" s="102"/>
      <c r="AL43" s="102"/>
      <c r="AM43" s="102"/>
      <c r="AN43" s="102"/>
      <c r="AO43" s="102"/>
      <c r="AP43" s="102"/>
      <c r="AQ43" s="102"/>
      <c r="AR43" s="102"/>
      <c r="AS43" s="102"/>
      <c r="AT43" s="102"/>
      <c r="AU43" s="102"/>
      <c r="AV43" s="102"/>
      <c r="AW43" s="102"/>
      <c r="AX43" s="102"/>
      <c r="AY43" s="102"/>
      <c r="AZ43" s="102"/>
      <c r="BA43" s="102"/>
      <c r="BB43" s="102"/>
      <c r="BC43" s="102"/>
      <c r="BD43" s="102"/>
      <c r="BE43" s="102"/>
      <c r="BF43" s="102"/>
      <c r="BG43" s="102"/>
      <c r="BH43" s="102"/>
      <c r="BI43" s="102"/>
      <c r="BJ43" s="102"/>
      <c r="BK43" s="102"/>
      <c r="BL43" s="211"/>
      <c r="BM43" s="211"/>
      <c r="BN43" s="211"/>
      <c r="BO43" s="211"/>
      <c r="BP43" s="102"/>
      <c r="BQ43" s="102"/>
    </row>
    <row r="44" spans="1:69">
      <c r="A44" s="4"/>
      <c r="B44" s="4"/>
      <c r="BL44" s="32"/>
      <c r="BM44" s="32"/>
      <c r="BN44" s="32"/>
      <c r="BO44" s="32"/>
    </row>
    <row r="45" spans="1:69">
      <c r="A45" s="4"/>
      <c r="B45" s="4"/>
      <c r="BL45" s="32"/>
      <c r="BM45" s="32"/>
      <c r="BN45" s="32"/>
      <c r="BO45" s="32"/>
    </row>
  </sheetData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63"/>
  <sheetViews>
    <sheetView topLeftCell="A25" zoomScale="95" zoomScaleNormal="95" zoomScalePageLayoutView="200" workbookViewId="0">
      <selection activeCell="D49" sqref="D49"/>
    </sheetView>
  </sheetViews>
  <sheetFormatPr defaultColWidth="8.5703125" defaultRowHeight="13.9"/>
  <cols>
    <col min="1" max="1" width="40.2109375" style="1" customWidth="1"/>
    <col min="2" max="2" width="22.5703125" style="1" customWidth="1"/>
    <col min="3" max="3" width="8.5703125" style="1"/>
    <col min="4" max="4" width="18.42578125" style="1" customWidth="1"/>
    <col min="5" max="5" width="10.42578125" style="1" bestFit="1" customWidth="1"/>
    <col min="6" max="6" width="9.140625" style="1" customWidth="1"/>
    <col min="7" max="7" width="9.5703125" style="4" bestFit="1" customWidth="1"/>
    <col min="8" max="16384" width="8.5703125" style="1"/>
  </cols>
  <sheetData>
    <row r="1" spans="1:7">
      <c r="A1" s="49" t="s">
        <v>0</v>
      </c>
      <c r="B1" s="47" t="s">
        <v>261</v>
      </c>
      <c r="C1" s="47" t="s">
        <v>26</v>
      </c>
      <c r="D1" s="47" t="s">
        <v>262</v>
      </c>
    </row>
    <row r="2" spans="1:7">
      <c r="A2" s="271" t="s">
        <v>169</v>
      </c>
      <c r="B2" s="271"/>
      <c r="C2" s="271"/>
      <c r="D2" s="271"/>
    </row>
    <row r="3" spans="1:7" s="39" customFormat="1">
      <c r="A3" s="100" t="s">
        <v>361</v>
      </c>
      <c r="B3" s="107">
        <v>30000000</v>
      </c>
      <c r="C3" s="223">
        <v>1</v>
      </c>
      <c r="D3" s="101">
        <f>B3*C3</f>
        <v>30000000</v>
      </c>
      <c r="E3" s="123"/>
      <c r="G3" s="120"/>
    </row>
    <row r="4" spans="1:7" s="39" customFormat="1">
      <c r="A4" s="100" t="s">
        <v>363</v>
      </c>
      <c r="B4" s="107">
        <v>9000000</v>
      </c>
      <c r="C4" s="223">
        <v>1</v>
      </c>
      <c r="D4" s="101">
        <f t="shared" ref="D4:D7" si="0">B4*C4</f>
        <v>9000000</v>
      </c>
      <c r="E4" s="123"/>
      <c r="G4" s="120"/>
    </row>
    <row r="5" spans="1:7" s="39" customFormat="1">
      <c r="A5" s="100" t="s">
        <v>364</v>
      </c>
      <c r="B5" s="107">
        <v>50000</v>
      </c>
      <c r="C5" s="107">
        <v>1000</v>
      </c>
      <c r="D5" s="101">
        <f t="shared" si="0"/>
        <v>50000000</v>
      </c>
      <c r="E5" s="123"/>
      <c r="G5" s="120"/>
    </row>
    <row r="6" spans="1:7" s="39" customFormat="1">
      <c r="A6" s="100" t="s">
        <v>150</v>
      </c>
      <c r="B6" s="107"/>
      <c r="C6" s="223"/>
      <c r="D6" s="101">
        <f t="shared" si="0"/>
        <v>0</v>
      </c>
      <c r="E6" s="123"/>
      <c r="G6" s="120"/>
    </row>
    <row r="7" spans="1:7" s="39" customFormat="1">
      <c r="A7" s="100" t="s">
        <v>150</v>
      </c>
      <c r="B7" s="107"/>
      <c r="C7" s="223"/>
      <c r="D7" s="101">
        <f t="shared" si="0"/>
        <v>0</v>
      </c>
      <c r="E7" s="123"/>
      <c r="G7" s="120"/>
    </row>
    <row r="8" spans="1:7" s="39" customFormat="1" ht="24.6" customHeight="1">
      <c r="A8" s="100" t="s">
        <v>150</v>
      </c>
      <c r="B8" s="107"/>
      <c r="C8" s="107"/>
      <c r="D8" s="101">
        <f t="shared" ref="D8:D11" si="1">B8*C8</f>
        <v>0</v>
      </c>
      <c r="E8" s="123"/>
      <c r="G8" s="120"/>
    </row>
    <row r="9" spans="1:7" s="39" customFormat="1" ht="24.6" customHeight="1">
      <c r="A9" s="100" t="s">
        <v>150</v>
      </c>
      <c r="B9" s="107"/>
      <c r="C9" s="107"/>
      <c r="D9" s="101">
        <f t="shared" si="1"/>
        <v>0</v>
      </c>
      <c r="E9" s="123"/>
      <c r="G9" s="120"/>
    </row>
    <row r="10" spans="1:7" s="39" customFormat="1" ht="24.6" customHeight="1">
      <c r="A10" s="100" t="s">
        <v>150</v>
      </c>
      <c r="B10" s="107"/>
      <c r="C10" s="107"/>
      <c r="D10" s="101">
        <f t="shared" si="1"/>
        <v>0</v>
      </c>
      <c r="E10" s="123"/>
      <c r="G10" s="120"/>
    </row>
    <row r="11" spans="1:7" s="39" customFormat="1" ht="24.6" customHeight="1">
      <c r="A11" s="100" t="s">
        <v>150</v>
      </c>
      <c r="B11" s="107"/>
      <c r="C11" s="107"/>
      <c r="D11" s="101">
        <f t="shared" si="1"/>
        <v>0</v>
      </c>
      <c r="E11" s="123"/>
      <c r="G11" s="120"/>
    </row>
    <row r="12" spans="1:7" s="39" customFormat="1" ht="14.85" customHeight="1">
      <c r="A12" s="45" t="s">
        <v>127</v>
      </c>
      <c r="B12" s="46"/>
      <c r="C12" s="47"/>
      <c r="D12" s="46">
        <f>SUM(D3:D11)</f>
        <v>89000000</v>
      </c>
      <c r="G12" s="120"/>
    </row>
    <row r="13" spans="1:7">
      <c r="A13" s="271" t="s">
        <v>183</v>
      </c>
      <c r="B13" s="271"/>
      <c r="C13" s="271"/>
      <c r="D13" s="271"/>
    </row>
    <row r="14" spans="1:7" s="39" customFormat="1" ht="18.399999999999999" customHeight="1">
      <c r="A14" s="220" t="s">
        <v>326</v>
      </c>
      <c r="B14" s="224">
        <v>3073390</v>
      </c>
      <c r="C14" s="223">
        <v>1</v>
      </c>
      <c r="D14" s="101">
        <f t="shared" ref="D14:D31" si="2">B14*C14</f>
        <v>3073390</v>
      </c>
      <c r="E14" s="222"/>
      <c r="G14" s="120"/>
    </row>
    <row r="15" spans="1:7" s="39" customFormat="1" ht="18.399999999999999" customHeight="1">
      <c r="A15" s="220" t="s">
        <v>327</v>
      </c>
      <c r="B15" s="224">
        <v>18000000</v>
      </c>
      <c r="C15" s="223">
        <v>1</v>
      </c>
      <c r="D15" s="101">
        <f t="shared" si="2"/>
        <v>18000000</v>
      </c>
      <c r="E15" s="123"/>
      <c r="G15" s="120"/>
    </row>
    <row r="16" spans="1:7" s="39" customFormat="1">
      <c r="A16" s="220" t="s">
        <v>328</v>
      </c>
      <c r="B16" s="224">
        <v>12000000</v>
      </c>
      <c r="C16" s="223">
        <v>1</v>
      </c>
      <c r="D16" s="101">
        <f t="shared" si="2"/>
        <v>12000000</v>
      </c>
      <c r="E16" s="123"/>
      <c r="G16" s="120"/>
    </row>
    <row r="17" spans="1:7" s="39" customFormat="1" ht="19.899999999999999" customHeight="1">
      <c r="A17" s="220" t="s">
        <v>329</v>
      </c>
      <c r="B17" s="224">
        <v>15000000</v>
      </c>
      <c r="C17" s="223">
        <v>1</v>
      </c>
      <c r="D17" s="101">
        <f t="shared" si="2"/>
        <v>15000000</v>
      </c>
      <c r="E17" s="123"/>
      <c r="G17" s="120"/>
    </row>
    <row r="18" spans="1:7" s="39" customFormat="1">
      <c r="A18" s="100" t="s">
        <v>362</v>
      </c>
      <c r="B18" s="107">
        <v>8000000</v>
      </c>
      <c r="C18" s="223">
        <v>1</v>
      </c>
      <c r="D18" s="101">
        <f t="shared" si="2"/>
        <v>8000000</v>
      </c>
      <c r="E18" s="123"/>
      <c r="G18" s="120"/>
    </row>
    <row r="19" spans="1:7" s="39" customFormat="1">
      <c r="A19" s="100" t="s">
        <v>365</v>
      </c>
      <c r="B19" s="107">
        <v>10000000</v>
      </c>
      <c r="C19" s="223">
        <v>2</v>
      </c>
      <c r="D19" s="101">
        <f t="shared" si="2"/>
        <v>20000000</v>
      </c>
      <c r="E19" s="123"/>
      <c r="G19" s="120"/>
    </row>
    <row r="20" spans="1:7" s="39" customFormat="1">
      <c r="A20" s="100" t="s">
        <v>150</v>
      </c>
      <c r="B20" s="107"/>
      <c r="C20" s="223"/>
      <c r="D20" s="101">
        <f t="shared" si="2"/>
        <v>0</v>
      </c>
      <c r="E20" s="123"/>
      <c r="G20" s="120"/>
    </row>
    <row r="21" spans="1:7" s="39" customFormat="1">
      <c r="A21" s="100" t="s">
        <v>150</v>
      </c>
      <c r="B21" s="107"/>
      <c r="C21" s="223"/>
      <c r="D21" s="101">
        <f t="shared" si="2"/>
        <v>0</v>
      </c>
      <c r="E21" s="123"/>
      <c r="G21" s="120"/>
    </row>
    <row r="22" spans="1:7" s="39" customFormat="1">
      <c r="A22" s="100" t="s">
        <v>150</v>
      </c>
      <c r="B22" s="107"/>
      <c r="C22" s="223"/>
      <c r="D22" s="101">
        <f t="shared" si="2"/>
        <v>0</v>
      </c>
      <c r="E22" s="123"/>
      <c r="G22" s="120"/>
    </row>
    <row r="23" spans="1:7" s="39" customFormat="1">
      <c r="A23" s="100" t="s">
        <v>150</v>
      </c>
      <c r="B23" s="107"/>
      <c r="C23" s="223"/>
      <c r="D23" s="101">
        <f t="shared" si="2"/>
        <v>0</v>
      </c>
      <c r="E23" s="123"/>
      <c r="G23" s="120"/>
    </row>
    <row r="24" spans="1:7" s="39" customFormat="1">
      <c r="A24" s="100" t="s">
        <v>150</v>
      </c>
      <c r="B24" s="107"/>
      <c r="C24" s="223"/>
      <c r="D24" s="101">
        <f t="shared" si="2"/>
        <v>0</v>
      </c>
      <c r="E24" s="123"/>
      <c r="G24" s="120"/>
    </row>
    <row r="25" spans="1:7" s="39" customFormat="1">
      <c r="A25" s="100" t="s">
        <v>150</v>
      </c>
      <c r="B25" s="107"/>
      <c r="C25" s="223"/>
      <c r="D25" s="101">
        <f t="shared" si="2"/>
        <v>0</v>
      </c>
      <c r="E25" s="123"/>
      <c r="G25" s="120"/>
    </row>
    <row r="26" spans="1:7" s="39" customFormat="1">
      <c r="A26" s="100" t="s">
        <v>150</v>
      </c>
      <c r="B26" s="107"/>
      <c r="C26" s="223"/>
      <c r="D26" s="101">
        <f t="shared" si="2"/>
        <v>0</v>
      </c>
      <c r="E26" s="123"/>
      <c r="G26" s="120"/>
    </row>
    <row r="27" spans="1:7" s="39" customFormat="1">
      <c r="A27" s="100" t="s">
        <v>150</v>
      </c>
      <c r="B27" s="107"/>
      <c r="C27" s="223"/>
      <c r="D27" s="101">
        <f t="shared" si="2"/>
        <v>0</v>
      </c>
      <c r="E27" s="123"/>
      <c r="G27" s="120"/>
    </row>
    <row r="28" spans="1:7" s="39" customFormat="1">
      <c r="A28" s="100" t="s">
        <v>150</v>
      </c>
      <c r="B28" s="107"/>
      <c r="C28" s="223"/>
      <c r="D28" s="101">
        <f t="shared" si="2"/>
        <v>0</v>
      </c>
      <c r="E28" s="123"/>
      <c r="G28" s="120"/>
    </row>
    <row r="29" spans="1:7" s="39" customFormat="1">
      <c r="A29" s="100" t="s">
        <v>150</v>
      </c>
      <c r="B29" s="107"/>
      <c r="C29" s="223"/>
      <c r="D29" s="101">
        <f t="shared" si="2"/>
        <v>0</v>
      </c>
      <c r="E29" s="123"/>
      <c r="G29" s="120"/>
    </row>
    <row r="30" spans="1:7" s="39" customFormat="1">
      <c r="A30" s="100" t="s">
        <v>150</v>
      </c>
      <c r="B30" s="107"/>
      <c r="C30" s="223"/>
      <c r="D30" s="101">
        <f t="shared" si="2"/>
        <v>0</v>
      </c>
      <c r="E30" s="123"/>
      <c r="G30" s="120"/>
    </row>
    <row r="31" spans="1:7" s="39" customFormat="1">
      <c r="A31" s="100" t="s">
        <v>150</v>
      </c>
      <c r="B31" s="107"/>
      <c r="C31" s="223"/>
      <c r="D31" s="101">
        <f t="shared" si="2"/>
        <v>0</v>
      </c>
      <c r="E31" s="123"/>
      <c r="G31" s="120"/>
    </row>
    <row r="32" spans="1:7" s="39" customFormat="1" ht="14.85" customHeight="1">
      <c r="A32" s="45" t="s">
        <v>127</v>
      </c>
      <c r="B32" s="46"/>
      <c r="C32" s="47"/>
      <c r="D32" s="46">
        <f>SUM(D14:D31)</f>
        <v>76073390</v>
      </c>
      <c r="G32" s="120"/>
    </row>
    <row r="33" spans="1:7">
      <c r="A33" s="271" t="s">
        <v>170</v>
      </c>
      <c r="B33" s="271"/>
      <c r="C33" s="271"/>
      <c r="D33" s="271"/>
    </row>
    <row r="34" spans="1:7" s="39" customFormat="1">
      <c r="A34" s="220" t="s">
        <v>240</v>
      </c>
      <c r="B34" s="225">
        <v>200000</v>
      </c>
      <c r="C34" s="223">
        <v>1</v>
      </c>
      <c r="D34" s="101">
        <f t="shared" ref="D34:D47" si="3">B34*C34</f>
        <v>200000</v>
      </c>
      <c r="E34" s="222"/>
      <c r="G34" s="120"/>
    </row>
    <row r="35" spans="1:7" s="39" customFormat="1">
      <c r="A35" s="220" t="s">
        <v>241</v>
      </c>
      <c r="B35" s="224">
        <v>90000</v>
      </c>
      <c r="C35" s="223">
        <v>1</v>
      </c>
      <c r="D35" s="101">
        <f t="shared" si="3"/>
        <v>90000</v>
      </c>
      <c r="E35" s="222"/>
      <c r="G35" s="120"/>
    </row>
    <row r="36" spans="1:7" s="39" customFormat="1">
      <c r="A36" s="220" t="s">
        <v>244</v>
      </c>
      <c r="B36" s="225">
        <v>500000</v>
      </c>
      <c r="C36" s="223">
        <v>1</v>
      </c>
      <c r="D36" s="101">
        <f t="shared" si="3"/>
        <v>500000</v>
      </c>
      <c r="E36" s="123"/>
      <c r="G36" s="120"/>
    </row>
    <row r="37" spans="1:7" s="39" customFormat="1">
      <c r="A37" s="100" t="s">
        <v>170</v>
      </c>
      <c r="B37" s="107">
        <v>4500000</v>
      </c>
      <c r="C37" s="223">
        <v>1</v>
      </c>
      <c r="D37" s="101">
        <f t="shared" si="3"/>
        <v>4500000</v>
      </c>
      <c r="E37" s="123"/>
      <c r="G37" s="120"/>
    </row>
    <row r="38" spans="1:7" s="39" customFormat="1">
      <c r="A38" s="100" t="s">
        <v>150</v>
      </c>
      <c r="B38" s="107"/>
      <c r="C38" s="223"/>
      <c r="D38" s="101">
        <f t="shared" si="3"/>
        <v>0</v>
      </c>
      <c r="E38" s="123"/>
      <c r="G38" s="120"/>
    </row>
    <row r="39" spans="1:7" s="39" customFormat="1">
      <c r="A39" s="100" t="s">
        <v>150</v>
      </c>
      <c r="B39" s="107"/>
      <c r="C39" s="223"/>
      <c r="D39" s="101">
        <f t="shared" si="3"/>
        <v>0</v>
      </c>
      <c r="E39" s="123"/>
      <c r="G39" s="120"/>
    </row>
    <row r="40" spans="1:7" s="39" customFormat="1">
      <c r="A40" s="100" t="s">
        <v>150</v>
      </c>
      <c r="B40" s="107"/>
      <c r="C40" s="223"/>
      <c r="D40" s="101">
        <f t="shared" si="3"/>
        <v>0</v>
      </c>
      <c r="E40" s="123"/>
      <c r="G40" s="120"/>
    </row>
    <row r="41" spans="1:7" s="39" customFormat="1">
      <c r="A41" s="100" t="s">
        <v>150</v>
      </c>
      <c r="B41" s="107"/>
      <c r="C41" s="223"/>
      <c r="D41" s="101">
        <f t="shared" si="3"/>
        <v>0</v>
      </c>
      <c r="E41" s="123"/>
      <c r="G41" s="120"/>
    </row>
    <row r="42" spans="1:7" s="39" customFormat="1">
      <c r="A42" s="100" t="s">
        <v>150</v>
      </c>
      <c r="B42" s="107"/>
      <c r="C42" s="223"/>
      <c r="D42" s="101">
        <f t="shared" si="3"/>
        <v>0</v>
      </c>
      <c r="E42" s="123"/>
      <c r="G42" s="120"/>
    </row>
    <row r="43" spans="1:7" s="39" customFormat="1">
      <c r="A43" s="100" t="s">
        <v>150</v>
      </c>
      <c r="B43" s="107"/>
      <c r="C43" s="223"/>
      <c r="D43" s="101">
        <f t="shared" si="3"/>
        <v>0</v>
      </c>
      <c r="E43" s="123"/>
      <c r="G43" s="120"/>
    </row>
    <row r="44" spans="1:7" s="39" customFormat="1">
      <c r="A44" s="100" t="s">
        <v>150</v>
      </c>
      <c r="B44" s="107"/>
      <c r="C44" s="223"/>
      <c r="D44" s="101">
        <f t="shared" si="3"/>
        <v>0</v>
      </c>
      <c r="E44" s="123"/>
      <c r="G44" s="120"/>
    </row>
    <row r="45" spans="1:7" s="39" customFormat="1">
      <c r="A45" s="100" t="s">
        <v>150</v>
      </c>
      <c r="B45" s="107"/>
      <c r="C45" s="223"/>
      <c r="D45" s="101">
        <f t="shared" si="3"/>
        <v>0</v>
      </c>
      <c r="E45" s="123"/>
      <c r="G45" s="120"/>
    </row>
    <row r="46" spans="1:7" s="39" customFormat="1">
      <c r="A46" s="100" t="s">
        <v>150</v>
      </c>
      <c r="B46" s="107"/>
      <c r="C46" s="223"/>
      <c r="D46" s="101">
        <f t="shared" si="3"/>
        <v>0</v>
      </c>
      <c r="E46" s="123"/>
      <c r="G46" s="120"/>
    </row>
    <row r="47" spans="1:7" s="39" customFormat="1">
      <c r="A47" s="100" t="s">
        <v>150</v>
      </c>
      <c r="B47" s="107"/>
      <c r="C47" s="223"/>
      <c r="D47" s="101">
        <f t="shared" si="3"/>
        <v>0</v>
      </c>
      <c r="E47" s="123"/>
      <c r="G47" s="120"/>
    </row>
    <row r="48" spans="1:7" s="39" customFormat="1" ht="14.85" customHeight="1">
      <c r="A48" s="45" t="s">
        <v>127</v>
      </c>
      <c r="B48" s="46"/>
      <c r="C48" s="47"/>
      <c r="D48" s="46">
        <f>SUM(D34:D47)</f>
        <v>5290000</v>
      </c>
      <c r="G48" s="120"/>
    </row>
    <row r="49" spans="1:17" s="39" customFormat="1" ht="14.85" customHeight="1">
      <c r="A49" s="45" t="s">
        <v>168</v>
      </c>
      <c r="B49" s="46"/>
      <c r="C49" s="47"/>
      <c r="D49" s="46">
        <f>D12+D32+D48</f>
        <v>170363390</v>
      </c>
      <c r="G49" s="120"/>
    </row>
    <row r="54" spans="1:17">
      <c r="E54" s="6"/>
      <c r="F54" s="6"/>
      <c r="G54" s="8"/>
      <c r="H54" s="6"/>
      <c r="I54" s="6"/>
      <c r="J54" s="6"/>
      <c r="K54" s="6"/>
      <c r="L54" s="6"/>
      <c r="M54" s="6"/>
      <c r="N54" s="6"/>
      <c r="O54" s="6"/>
      <c r="P54" s="6"/>
      <c r="Q54" s="6"/>
    </row>
    <row r="55" spans="1:17">
      <c r="E55" s="6"/>
      <c r="F55" s="6"/>
      <c r="G55" s="8"/>
      <c r="H55" s="6"/>
      <c r="I55" s="6"/>
      <c r="J55" s="6"/>
      <c r="K55" s="6"/>
      <c r="L55" s="6"/>
      <c r="M55" s="6"/>
      <c r="N55" s="6"/>
      <c r="O55" s="6"/>
      <c r="P55" s="6"/>
      <c r="Q55" s="6"/>
    </row>
    <row r="56" spans="1:17">
      <c r="E56" s="6"/>
      <c r="F56" s="115"/>
      <c r="G56" s="121"/>
      <c r="H56" s="115"/>
      <c r="I56" s="115"/>
      <c r="J56" s="115"/>
      <c r="K56" s="115"/>
      <c r="L56" s="115"/>
      <c r="M56" s="115"/>
      <c r="N56" s="115"/>
      <c r="O56" s="115"/>
      <c r="P56" s="115"/>
      <c r="Q56" s="115"/>
    </row>
    <row r="57" spans="1:17">
      <c r="E57" s="6"/>
      <c r="F57" s="6"/>
      <c r="G57" s="8"/>
      <c r="H57" s="6"/>
      <c r="I57" s="6"/>
      <c r="J57" s="6"/>
      <c r="K57" s="6"/>
      <c r="L57" s="6"/>
      <c r="M57" s="6"/>
      <c r="N57" s="6"/>
      <c r="O57" s="6"/>
      <c r="P57" s="6"/>
      <c r="Q57" s="6"/>
    </row>
    <row r="58" spans="1:17">
      <c r="E58" s="6"/>
      <c r="F58" s="115"/>
      <c r="G58" s="121"/>
      <c r="H58" s="115"/>
      <c r="I58" s="115"/>
      <c r="J58" s="115"/>
      <c r="K58" s="115"/>
      <c r="L58" s="115"/>
      <c r="M58" s="115"/>
      <c r="N58" s="115"/>
      <c r="O58" s="115"/>
      <c r="P58" s="115"/>
      <c r="Q58" s="115"/>
    </row>
    <row r="59" spans="1:17">
      <c r="E59" s="6"/>
      <c r="F59" s="6"/>
      <c r="G59" s="8"/>
      <c r="H59" s="6"/>
      <c r="I59" s="6"/>
      <c r="J59" s="6"/>
      <c r="K59" s="6"/>
      <c r="L59" s="6"/>
      <c r="M59" s="6"/>
      <c r="N59" s="6"/>
      <c r="O59" s="6"/>
      <c r="P59" s="6"/>
      <c r="Q59" s="6"/>
    </row>
    <row r="60" spans="1:17">
      <c r="E60" s="6"/>
      <c r="F60" s="6"/>
      <c r="G60" s="8"/>
      <c r="H60" s="6"/>
      <c r="I60" s="6"/>
      <c r="J60" s="6"/>
      <c r="K60" s="6"/>
      <c r="L60" s="6"/>
      <c r="M60" s="6"/>
      <c r="N60" s="6"/>
      <c r="O60" s="6"/>
      <c r="P60" s="6"/>
      <c r="Q60" s="6"/>
    </row>
    <row r="61" spans="1:17">
      <c r="E61" s="6"/>
      <c r="F61" s="115"/>
      <c r="G61" s="121"/>
      <c r="H61" s="115"/>
      <c r="I61" s="115"/>
      <c r="J61" s="115"/>
      <c r="K61" s="115"/>
      <c r="L61" s="115"/>
      <c r="M61" s="115"/>
      <c r="N61" s="115"/>
      <c r="O61" s="115"/>
      <c r="P61" s="115"/>
      <c r="Q61" s="115"/>
    </row>
    <row r="62" spans="1:17">
      <c r="E62" s="6"/>
      <c r="F62" s="6"/>
      <c r="G62" s="8"/>
      <c r="H62" s="6"/>
      <c r="I62" s="6"/>
      <c r="J62" s="6"/>
      <c r="K62" s="6"/>
      <c r="L62" s="6"/>
      <c r="M62" s="6"/>
      <c r="N62" s="6"/>
      <c r="O62" s="6"/>
      <c r="P62" s="6"/>
      <c r="Q62" s="6"/>
    </row>
    <row r="63" spans="1:17">
      <c r="E63" s="6"/>
      <c r="F63" s="6"/>
      <c r="G63" s="8"/>
      <c r="H63" s="6"/>
      <c r="I63" s="6"/>
      <c r="J63" s="6"/>
      <c r="K63" s="6"/>
      <c r="L63" s="6"/>
      <c r="M63" s="6"/>
      <c r="N63" s="6"/>
      <c r="O63" s="6"/>
      <c r="P63" s="6"/>
      <c r="Q63" s="6"/>
    </row>
  </sheetData>
  <mergeCells count="3">
    <mergeCell ref="A2:D2"/>
    <mergeCell ref="A33:D33"/>
    <mergeCell ref="A13:D13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O22"/>
  <sheetViews>
    <sheetView zoomScale="95" zoomScaleNormal="95" zoomScalePageLayoutView="15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I18" sqref="I18"/>
    </sheetView>
  </sheetViews>
  <sheetFormatPr defaultColWidth="8.5703125" defaultRowHeight="13.9"/>
  <cols>
    <col min="1" max="1" width="44.35546875" style="1" customWidth="1"/>
    <col min="2" max="2" width="7.5703125" style="1" customWidth="1"/>
    <col min="3" max="12" width="7.5703125" style="36" customWidth="1"/>
    <col min="13" max="13" width="8.5703125" style="36" customWidth="1"/>
    <col min="14" max="61" width="7.5703125" style="36" customWidth="1"/>
    <col min="62" max="62" width="12.42578125" style="36" customWidth="1"/>
    <col min="63" max="16384" width="8.5703125" style="1"/>
  </cols>
  <sheetData>
    <row r="1" spans="1:119">
      <c r="A1" s="18" t="s">
        <v>6</v>
      </c>
      <c r="B1" s="19">
        <f>IF(OR(MONTH(B3)=1,MONTH(B3)=2,MONTH(B3)=3),1,IF(OR(MONTH(B3)=4,MONTH(B3)=5,MONTH(B3)=6),2,IF(OR(MONTH(B3)=7,MONTH(B3)=8,MONTH(B3)=9),3,4)))</f>
        <v>3</v>
      </c>
      <c r="C1" s="35">
        <f>IF(OR(MONTH(C3)=1,MONTH(C3)=2,MONTH(C3)=3),1,IF(OR(MONTH(C3)=4,MONTH(C3)=5,MONTH(C3)=6),2,IF(OR(MONTH(C3)=7,MONTH(C3)=8,MONTH(C3)=9),3,4)))</f>
        <v>4</v>
      </c>
      <c r="D1" s="35">
        <f>IF(OR(MONTH(D3)=1,MONTH(D3)=2,MONTH(D3)=3),1,IF(OR(MONTH(D3)=4,MONTH(D3)=5,MONTH(D3)=6),2,IF(OR(MONTH(D3)=7,MONTH(D3)=8,MONTH(D3)=9),3,4)))</f>
        <v>4</v>
      </c>
      <c r="E1" s="35">
        <f t="shared" ref="E1:AK1" si="0">IF(OR(MONTH(E3)=1,MONTH(E3)=2,MONTH(E3)=3),1,IF(OR(MONTH(E3)=4,MONTH(E3)=5,MONTH(E3)=6),2,IF(OR(MONTH(E3)=7,MONTH(E3)=8,MONTH(E3)=9),3,4)))</f>
        <v>4</v>
      </c>
      <c r="F1" s="35">
        <f t="shared" si="0"/>
        <v>1</v>
      </c>
      <c r="G1" s="35">
        <f t="shared" si="0"/>
        <v>1</v>
      </c>
      <c r="H1" s="35">
        <f t="shared" si="0"/>
        <v>1</v>
      </c>
      <c r="I1" s="35">
        <f t="shared" si="0"/>
        <v>2</v>
      </c>
      <c r="J1" s="35">
        <f t="shared" si="0"/>
        <v>2</v>
      </c>
      <c r="K1" s="35">
        <f t="shared" si="0"/>
        <v>2</v>
      </c>
      <c r="L1" s="35">
        <f t="shared" si="0"/>
        <v>3</v>
      </c>
      <c r="M1" s="35">
        <f t="shared" si="0"/>
        <v>3</v>
      </c>
      <c r="N1" s="35">
        <f t="shared" si="0"/>
        <v>3</v>
      </c>
      <c r="O1" s="35">
        <f t="shared" si="0"/>
        <v>4</v>
      </c>
      <c r="P1" s="35">
        <f t="shared" si="0"/>
        <v>4</v>
      </c>
      <c r="Q1" s="35">
        <f t="shared" si="0"/>
        <v>4</v>
      </c>
      <c r="R1" s="35">
        <f t="shared" si="0"/>
        <v>1</v>
      </c>
      <c r="S1" s="35">
        <f t="shared" si="0"/>
        <v>1</v>
      </c>
      <c r="T1" s="35">
        <f t="shared" si="0"/>
        <v>1</v>
      </c>
      <c r="U1" s="35">
        <f t="shared" si="0"/>
        <v>2</v>
      </c>
      <c r="V1" s="35">
        <f t="shared" si="0"/>
        <v>2</v>
      </c>
      <c r="W1" s="35">
        <f t="shared" si="0"/>
        <v>2</v>
      </c>
      <c r="X1" s="35">
        <f t="shared" si="0"/>
        <v>3</v>
      </c>
      <c r="Y1" s="35">
        <f t="shared" si="0"/>
        <v>3</v>
      </c>
      <c r="Z1" s="35">
        <f t="shared" si="0"/>
        <v>3</v>
      </c>
      <c r="AA1" s="35">
        <f t="shared" si="0"/>
        <v>4</v>
      </c>
      <c r="AB1" s="35">
        <f t="shared" si="0"/>
        <v>4</v>
      </c>
      <c r="AC1" s="35">
        <f t="shared" si="0"/>
        <v>4</v>
      </c>
      <c r="AD1" s="35">
        <f t="shared" si="0"/>
        <v>1</v>
      </c>
      <c r="AE1" s="35">
        <f t="shared" si="0"/>
        <v>1</v>
      </c>
      <c r="AF1" s="35">
        <f t="shared" si="0"/>
        <v>1</v>
      </c>
      <c r="AG1" s="35">
        <f t="shared" si="0"/>
        <v>2</v>
      </c>
      <c r="AH1" s="35">
        <f t="shared" si="0"/>
        <v>2</v>
      </c>
      <c r="AI1" s="35">
        <f t="shared" si="0"/>
        <v>2</v>
      </c>
      <c r="AJ1" s="35">
        <f t="shared" si="0"/>
        <v>3</v>
      </c>
      <c r="AK1" s="35">
        <f t="shared" si="0"/>
        <v>3</v>
      </c>
      <c r="AL1" s="35">
        <f t="shared" ref="AL1:BH1" si="1">IF(OR(MONTH(AL3)=1,MONTH(AL3)=2,MONTH(AL3)=3),1,IF(OR(MONTH(AL3)=4,MONTH(AL3)=5,MONTH(AL3)=6),2,IF(OR(MONTH(AL3)=7,MONTH(AL3)=8,MONTH(AL3)=9),3,4)))</f>
        <v>3</v>
      </c>
      <c r="AM1" s="35">
        <f t="shared" si="1"/>
        <v>4</v>
      </c>
      <c r="AN1" s="35">
        <f t="shared" si="1"/>
        <v>4</v>
      </c>
      <c r="AO1" s="35">
        <f t="shared" si="1"/>
        <v>4</v>
      </c>
      <c r="AP1" s="35">
        <f t="shared" si="1"/>
        <v>1</v>
      </c>
      <c r="AQ1" s="35">
        <f t="shared" si="1"/>
        <v>1</v>
      </c>
      <c r="AR1" s="35">
        <f t="shared" si="1"/>
        <v>1</v>
      </c>
      <c r="AS1" s="35">
        <f t="shared" si="1"/>
        <v>2</v>
      </c>
      <c r="AT1" s="35">
        <f t="shared" si="1"/>
        <v>2</v>
      </c>
      <c r="AU1" s="35">
        <f t="shared" si="1"/>
        <v>2</v>
      </c>
      <c r="AV1" s="35">
        <f t="shared" si="1"/>
        <v>3</v>
      </c>
      <c r="AW1" s="35">
        <f t="shared" si="1"/>
        <v>3</v>
      </c>
      <c r="AX1" s="35">
        <f t="shared" si="1"/>
        <v>3</v>
      </c>
      <c r="AY1" s="35">
        <f t="shared" si="1"/>
        <v>4</v>
      </c>
      <c r="AZ1" s="35">
        <f t="shared" si="1"/>
        <v>4</v>
      </c>
      <c r="BA1" s="35">
        <f t="shared" si="1"/>
        <v>4</v>
      </c>
      <c r="BB1" s="35">
        <f t="shared" si="1"/>
        <v>1</v>
      </c>
      <c r="BC1" s="35">
        <f t="shared" si="1"/>
        <v>1</v>
      </c>
      <c r="BD1" s="35">
        <f t="shared" si="1"/>
        <v>1</v>
      </c>
      <c r="BE1" s="35">
        <f t="shared" si="1"/>
        <v>2</v>
      </c>
      <c r="BF1" s="35">
        <f t="shared" si="1"/>
        <v>2</v>
      </c>
      <c r="BG1" s="35">
        <f t="shared" si="1"/>
        <v>2</v>
      </c>
      <c r="BH1" s="35">
        <f t="shared" si="1"/>
        <v>3</v>
      </c>
      <c r="BI1" s="35">
        <f t="shared" ref="BI1" si="2">IF(OR(MONTH(BI3)=1,MONTH(BI3)=2,MONTH(BI3)=3),1,IF(OR(MONTH(BI3)=4,MONTH(BI3)=5,MONTH(BI3)=6),2,IF(OR(MONTH(BI3)=7,MONTH(BI3)=8,MONTH(BI3)=9),3,4)))</f>
        <v>3</v>
      </c>
      <c r="BL1" s="2"/>
    </row>
    <row r="2" spans="1:119">
      <c r="A2" s="18" t="s">
        <v>7</v>
      </c>
      <c r="B2" s="19">
        <f>YEAR(B3)</f>
        <v>2025</v>
      </c>
      <c r="C2" s="35">
        <f>YEAR(C3)</f>
        <v>2025</v>
      </c>
      <c r="D2" s="35">
        <f t="shared" ref="D2:BI2" si="3">YEAR(D3)</f>
        <v>2025</v>
      </c>
      <c r="E2" s="35">
        <f t="shared" si="3"/>
        <v>2025</v>
      </c>
      <c r="F2" s="35">
        <f t="shared" si="3"/>
        <v>2026</v>
      </c>
      <c r="G2" s="35">
        <f t="shared" si="3"/>
        <v>2026</v>
      </c>
      <c r="H2" s="35">
        <f t="shared" si="3"/>
        <v>2026</v>
      </c>
      <c r="I2" s="35">
        <f t="shared" si="3"/>
        <v>2026</v>
      </c>
      <c r="J2" s="35">
        <f t="shared" si="3"/>
        <v>2026</v>
      </c>
      <c r="K2" s="35">
        <f t="shared" si="3"/>
        <v>2026</v>
      </c>
      <c r="L2" s="35">
        <f t="shared" si="3"/>
        <v>2026</v>
      </c>
      <c r="M2" s="35">
        <f t="shared" si="3"/>
        <v>2026</v>
      </c>
      <c r="N2" s="35">
        <f t="shared" si="3"/>
        <v>2026</v>
      </c>
      <c r="O2" s="35">
        <f t="shared" si="3"/>
        <v>2026</v>
      </c>
      <c r="P2" s="35">
        <f t="shared" si="3"/>
        <v>2026</v>
      </c>
      <c r="Q2" s="35">
        <f t="shared" si="3"/>
        <v>2026</v>
      </c>
      <c r="R2" s="35">
        <f t="shared" si="3"/>
        <v>2027</v>
      </c>
      <c r="S2" s="35">
        <f t="shared" si="3"/>
        <v>2027</v>
      </c>
      <c r="T2" s="35">
        <f t="shared" si="3"/>
        <v>2027</v>
      </c>
      <c r="U2" s="35">
        <f t="shared" si="3"/>
        <v>2027</v>
      </c>
      <c r="V2" s="35">
        <f t="shared" si="3"/>
        <v>2027</v>
      </c>
      <c r="W2" s="35">
        <f t="shared" si="3"/>
        <v>2027</v>
      </c>
      <c r="X2" s="35">
        <f t="shared" si="3"/>
        <v>2027</v>
      </c>
      <c r="Y2" s="35">
        <f t="shared" si="3"/>
        <v>2027</v>
      </c>
      <c r="Z2" s="35">
        <f t="shared" si="3"/>
        <v>2027</v>
      </c>
      <c r="AA2" s="35">
        <f t="shared" si="3"/>
        <v>2027</v>
      </c>
      <c r="AB2" s="35">
        <f t="shared" si="3"/>
        <v>2027</v>
      </c>
      <c r="AC2" s="35">
        <f t="shared" si="3"/>
        <v>2027</v>
      </c>
      <c r="AD2" s="35">
        <f t="shared" si="3"/>
        <v>2028</v>
      </c>
      <c r="AE2" s="35">
        <f t="shared" si="3"/>
        <v>2028</v>
      </c>
      <c r="AF2" s="35">
        <f t="shared" si="3"/>
        <v>2028</v>
      </c>
      <c r="AG2" s="35">
        <f t="shared" si="3"/>
        <v>2028</v>
      </c>
      <c r="AH2" s="35">
        <f t="shared" si="3"/>
        <v>2028</v>
      </c>
      <c r="AI2" s="35">
        <f t="shared" si="3"/>
        <v>2028</v>
      </c>
      <c r="AJ2" s="35">
        <f t="shared" si="3"/>
        <v>2028</v>
      </c>
      <c r="AK2" s="35">
        <f t="shared" si="3"/>
        <v>2028</v>
      </c>
      <c r="AL2" s="35">
        <f t="shared" si="3"/>
        <v>2028</v>
      </c>
      <c r="AM2" s="35">
        <f t="shared" si="3"/>
        <v>2028</v>
      </c>
      <c r="AN2" s="35">
        <f t="shared" si="3"/>
        <v>2028</v>
      </c>
      <c r="AO2" s="35">
        <f t="shared" si="3"/>
        <v>2028</v>
      </c>
      <c r="AP2" s="35">
        <f t="shared" si="3"/>
        <v>2029</v>
      </c>
      <c r="AQ2" s="35">
        <f t="shared" si="3"/>
        <v>2029</v>
      </c>
      <c r="AR2" s="35">
        <f t="shared" si="3"/>
        <v>2029</v>
      </c>
      <c r="AS2" s="35">
        <f t="shared" si="3"/>
        <v>2029</v>
      </c>
      <c r="AT2" s="35">
        <f t="shared" si="3"/>
        <v>2029</v>
      </c>
      <c r="AU2" s="35">
        <f t="shared" si="3"/>
        <v>2029</v>
      </c>
      <c r="AV2" s="35">
        <f t="shared" si="3"/>
        <v>2029</v>
      </c>
      <c r="AW2" s="35">
        <f t="shared" si="3"/>
        <v>2029</v>
      </c>
      <c r="AX2" s="35">
        <f t="shared" si="3"/>
        <v>2029</v>
      </c>
      <c r="AY2" s="35">
        <f t="shared" si="3"/>
        <v>2029</v>
      </c>
      <c r="AZ2" s="35">
        <f t="shared" si="3"/>
        <v>2029</v>
      </c>
      <c r="BA2" s="35">
        <f t="shared" si="3"/>
        <v>2029</v>
      </c>
      <c r="BB2" s="35">
        <f t="shared" si="3"/>
        <v>2030</v>
      </c>
      <c r="BC2" s="35">
        <f t="shared" si="3"/>
        <v>2030</v>
      </c>
      <c r="BD2" s="35">
        <f t="shared" si="3"/>
        <v>2030</v>
      </c>
      <c r="BE2" s="35">
        <f t="shared" si="3"/>
        <v>2030</v>
      </c>
      <c r="BF2" s="35">
        <f t="shared" si="3"/>
        <v>2030</v>
      </c>
      <c r="BG2" s="35">
        <f t="shared" si="3"/>
        <v>2030</v>
      </c>
      <c r="BH2" s="35">
        <f t="shared" si="3"/>
        <v>2030</v>
      </c>
      <c r="BI2" s="35">
        <f t="shared" si="3"/>
        <v>2030</v>
      </c>
      <c r="BK2" s="2"/>
      <c r="BL2" s="2"/>
      <c r="BM2" s="2"/>
      <c r="BN2" s="2"/>
      <c r="BO2" s="2"/>
    </row>
    <row r="3" spans="1:119">
      <c r="A3" s="18" t="s">
        <v>8</v>
      </c>
      <c r="B3" s="20">
        <f>Допущения!C4</f>
        <v>45901</v>
      </c>
      <c r="C3" s="20">
        <f t="shared" ref="C3:N3" si="4">DATE(YEAR(B3),MONTH(B3)+1,1)</f>
        <v>45931</v>
      </c>
      <c r="D3" s="20">
        <f t="shared" si="4"/>
        <v>45962</v>
      </c>
      <c r="E3" s="20">
        <f t="shared" si="4"/>
        <v>45992</v>
      </c>
      <c r="F3" s="20">
        <f t="shared" si="4"/>
        <v>46023</v>
      </c>
      <c r="G3" s="20">
        <f t="shared" si="4"/>
        <v>46054</v>
      </c>
      <c r="H3" s="20">
        <f t="shared" si="4"/>
        <v>46082</v>
      </c>
      <c r="I3" s="20">
        <f t="shared" si="4"/>
        <v>46113</v>
      </c>
      <c r="J3" s="20">
        <f t="shared" si="4"/>
        <v>46143</v>
      </c>
      <c r="K3" s="20">
        <f t="shared" si="4"/>
        <v>46174</v>
      </c>
      <c r="L3" s="20">
        <f t="shared" si="4"/>
        <v>46204</v>
      </c>
      <c r="M3" s="20">
        <f t="shared" si="4"/>
        <v>46235</v>
      </c>
      <c r="N3" s="20">
        <f t="shared" si="4"/>
        <v>46266</v>
      </c>
      <c r="O3" s="20">
        <f t="shared" ref="O3:AK3" si="5">DATE(YEAR(N3),MONTH(N3)+1,1)</f>
        <v>46296</v>
      </c>
      <c r="P3" s="20">
        <f t="shared" si="5"/>
        <v>46327</v>
      </c>
      <c r="Q3" s="20">
        <f t="shared" si="5"/>
        <v>46357</v>
      </c>
      <c r="R3" s="20">
        <f t="shared" si="5"/>
        <v>46388</v>
      </c>
      <c r="S3" s="20">
        <f t="shared" si="5"/>
        <v>46419</v>
      </c>
      <c r="T3" s="20">
        <f t="shared" si="5"/>
        <v>46447</v>
      </c>
      <c r="U3" s="20">
        <f t="shared" si="5"/>
        <v>46478</v>
      </c>
      <c r="V3" s="20">
        <f t="shared" si="5"/>
        <v>46508</v>
      </c>
      <c r="W3" s="20">
        <f t="shared" si="5"/>
        <v>46539</v>
      </c>
      <c r="X3" s="20">
        <f t="shared" si="5"/>
        <v>46569</v>
      </c>
      <c r="Y3" s="20">
        <f t="shared" si="5"/>
        <v>46600</v>
      </c>
      <c r="Z3" s="20">
        <f t="shared" si="5"/>
        <v>46631</v>
      </c>
      <c r="AA3" s="20">
        <f t="shared" si="5"/>
        <v>46661</v>
      </c>
      <c r="AB3" s="20">
        <f t="shared" si="5"/>
        <v>46692</v>
      </c>
      <c r="AC3" s="20">
        <f t="shared" si="5"/>
        <v>46722</v>
      </c>
      <c r="AD3" s="20">
        <f t="shared" si="5"/>
        <v>46753</v>
      </c>
      <c r="AE3" s="20">
        <f t="shared" si="5"/>
        <v>46784</v>
      </c>
      <c r="AF3" s="20">
        <f t="shared" si="5"/>
        <v>46813</v>
      </c>
      <c r="AG3" s="20">
        <f t="shared" si="5"/>
        <v>46844</v>
      </c>
      <c r="AH3" s="20">
        <f t="shared" si="5"/>
        <v>46874</v>
      </c>
      <c r="AI3" s="20">
        <f t="shared" si="5"/>
        <v>46905</v>
      </c>
      <c r="AJ3" s="20">
        <f t="shared" si="5"/>
        <v>46935</v>
      </c>
      <c r="AK3" s="20">
        <f t="shared" si="5"/>
        <v>46966</v>
      </c>
      <c r="AL3" s="20">
        <f t="shared" ref="AL3:BH3" si="6">DATE(YEAR(AK3),MONTH(AK3)+1,1)</f>
        <v>46997</v>
      </c>
      <c r="AM3" s="20">
        <f t="shared" si="6"/>
        <v>47027</v>
      </c>
      <c r="AN3" s="20">
        <f t="shared" si="6"/>
        <v>47058</v>
      </c>
      <c r="AO3" s="20">
        <f t="shared" si="6"/>
        <v>47088</v>
      </c>
      <c r="AP3" s="20">
        <f t="shared" si="6"/>
        <v>47119</v>
      </c>
      <c r="AQ3" s="20">
        <f t="shared" si="6"/>
        <v>47150</v>
      </c>
      <c r="AR3" s="20">
        <f t="shared" si="6"/>
        <v>47178</v>
      </c>
      <c r="AS3" s="20">
        <f t="shared" si="6"/>
        <v>47209</v>
      </c>
      <c r="AT3" s="20">
        <f t="shared" si="6"/>
        <v>47239</v>
      </c>
      <c r="AU3" s="20">
        <f t="shared" si="6"/>
        <v>47270</v>
      </c>
      <c r="AV3" s="20">
        <f t="shared" si="6"/>
        <v>47300</v>
      </c>
      <c r="AW3" s="20">
        <f t="shared" si="6"/>
        <v>47331</v>
      </c>
      <c r="AX3" s="20">
        <f t="shared" si="6"/>
        <v>47362</v>
      </c>
      <c r="AY3" s="20">
        <f t="shared" si="6"/>
        <v>47392</v>
      </c>
      <c r="AZ3" s="20">
        <f t="shared" si="6"/>
        <v>47423</v>
      </c>
      <c r="BA3" s="20">
        <f t="shared" si="6"/>
        <v>47453</v>
      </c>
      <c r="BB3" s="20">
        <f t="shared" si="6"/>
        <v>47484</v>
      </c>
      <c r="BC3" s="20">
        <f t="shared" si="6"/>
        <v>47515</v>
      </c>
      <c r="BD3" s="20">
        <f t="shared" si="6"/>
        <v>47543</v>
      </c>
      <c r="BE3" s="20">
        <f t="shared" si="6"/>
        <v>47574</v>
      </c>
      <c r="BF3" s="20">
        <f t="shared" si="6"/>
        <v>47604</v>
      </c>
      <c r="BG3" s="20">
        <f t="shared" si="6"/>
        <v>47635</v>
      </c>
      <c r="BH3" s="20">
        <f t="shared" si="6"/>
        <v>47665</v>
      </c>
      <c r="BI3" s="20">
        <f t="shared" ref="BI3:BJ3" si="7">DATE(YEAR(BH3),MONTH(BH3)+1,1)</f>
        <v>47696</v>
      </c>
      <c r="BJ3" s="228">
        <f t="shared" si="7"/>
        <v>47727</v>
      </c>
    </row>
    <row r="4" spans="1:119">
      <c r="A4" s="18" t="s">
        <v>10</v>
      </c>
      <c r="B4" s="19">
        <f>C3-B3</f>
        <v>30</v>
      </c>
      <c r="C4" s="35">
        <f>D3-C3</f>
        <v>31</v>
      </c>
      <c r="D4" s="35">
        <f t="shared" ref="D4:AJ4" si="8">E3-D3</f>
        <v>30</v>
      </c>
      <c r="E4" s="35">
        <f t="shared" si="8"/>
        <v>31</v>
      </c>
      <c r="F4" s="35">
        <f t="shared" si="8"/>
        <v>31</v>
      </c>
      <c r="G4" s="35">
        <f t="shared" si="8"/>
        <v>28</v>
      </c>
      <c r="H4" s="35">
        <f t="shared" si="8"/>
        <v>31</v>
      </c>
      <c r="I4" s="35">
        <f t="shared" si="8"/>
        <v>30</v>
      </c>
      <c r="J4" s="35">
        <f t="shared" si="8"/>
        <v>31</v>
      </c>
      <c r="K4" s="35">
        <f t="shared" si="8"/>
        <v>30</v>
      </c>
      <c r="L4" s="35">
        <f t="shared" si="8"/>
        <v>31</v>
      </c>
      <c r="M4" s="35">
        <f t="shared" si="8"/>
        <v>31</v>
      </c>
      <c r="N4" s="35">
        <f t="shared" si="8"/>
        <v>30</v>
      </c>
      <c r="O4" s="35">
        <f t="shared" si="8"/>
        <v>31</v>
      </c>
      <c r="P4" s="35">
        <f t="shared" si="8"/>
        <v>30</v>
      </c>
      <c r="Q4" s="35">
        <f t="shared" si="8"/>
        <v>31</v>
      </c>
      <c r="R4" s="35">
        <f t="shared" si="8"/>
        <v>31</v>
      </c>
      <c r="S4" s="35">
        <f t="shared" si="8"/>
        <v>28</v>
      </c>
      <c r="T4" s="35">
        <f t="shared" si="8"/>
        <v>31</v>
      </c>
      <c r="U4" s="35">
        <f t="shared" si="8"/>
        <v>30</v>
      </c>
      <c r="V4" s="35">
        <f t="shared" si="8"/>
        <v>31</v>
      </c>
      <c r="W4" s="35">
        <f t="shared" si="8"/>
        <v>30</v>
      </c>
      <c r="X4" s="35">
        <f t="shared" si="8"/>
        <v>31</v>
      </c>
      <c r="Y4" s="35">
        <f t="shared" si="8"/>
        <v>31</v>
      </c>
      <c r="Z4" s="35">
        <f t="shared" si="8"/>
        <v>30</v>
      </c>
      <c r="AA4" s="35">
        <f t="shared" si="8"/>
        <v>31</v>
      </c>
      <c r="AB4" s="35">
        <f t="shared" si="8"/>
        <v>30</v>
      </c>
      <c r="AC4" s="35">
        <f t="shared" si="8"/>
        <v>31</v>
      </c>
      <c r="AD4" s="35">
        <f t="shared" si="8"/>
        <v>31</v>
      </c>
      <c r="AE4" s="35">
        <f t="shared" si="8"/>
        <v>29</v>
      </c>
      <c r="AF4" s="35">
        <f t="shared" si="8"/>
        <v>31</v>
      </c>
      <c r="AG4" s="35">
        <f t="shared" si="8"/>
        <v>30</v>
      </c>
      <c r="AH4" s="35">
        <f t="shared" si="8"/>
        <v>31</v>
      </c>
      <c r="AI4" s="35">
        <f t="shared" si="8"/>
        <v>30</v>
      </c>
      <c r="AJ4" s="35">
        <f t="shared" si="8"/>
        <v>31</v>
      </c>
      <c r="AK4" s="35">
        <f t="shared" ref="AK4:BG4" si="9">AL3-AK3</f>
        <v>31</v>
      </c>
      <c r="AL4" s="35">
        <f t="shared" si="9"/>
        <v>30</v>
      </c>
      <c r="AM4" s="35">
        <f t="shared" si="9"/>
        <v>31</v>
      </c>
      <c r="AN4" s="35">
        <f t="shared" si="9"/>
        <v>30</v>
      </c>
      <c r="AO4" s="35">
        <f t="shared" si="9"/>
        <v>31</v>
      </c>
      <c r="AP4" s="35">
        <f t="shared" si="9"/>
        <v>31</v>
      </c>
      <c r="AQ4" s="35">
        <f t="shared" si="9"/>
        <v>28</v>
      </c>
      <c r="AR4" s="35">
        <f t="shared" si="9"/>
        <v>31</v>
      </c>
      <c r="AS4" s="35">
        <f t="shared" si="9"/>
        <v>30</v>
      </c>
      <c r="AT4" s="35">
        <f t="shared" si="9"/>
        <v>31</v>
      </c>
      <c r="AU4" s="35">
        <f t="shared" si="9"/>
        <v>30</v>
      </c>
      <c r="AV4" s="35">
        <f t="shared" si="9"/>
        <v>31</v>
      </c>
      <c r="AW4" s="35">
        <f t="shared" si="9"/>
        <v>31</v>
      </c>
      <c r="AX4" s="35">
        <f t="shared" si="9"/>
        <v>30</v>
      </c>
      <c r="AY4" s="35">
        <f t="shared" si="9"/>
        <v>31</v>
      </c>
      <c r="AZ4" s="35">
        <f t="shared" si="9"/>
        <v>30</v>
      </c>
      <c r="BA4" s="35">
        <f t="shared" si="9"/>
        <v>31</v>
      </c>
      <c r="BB4" s="35">
        <f t="shared" si="9"/>
        <v>31</v>
      </c>
      <c r="BC4" s="35">
        <f t="shared" si="9"/>
        <v>28</v>
      </c>
      <c r="BD4" s="35">
        <f t="shared" si="9"/>
        <v>31</v>
      </c>
      <c r="BE4" s="35">
        <f t="shared" si="9"/>
        <v>30</v>
      </c>
      <c r="BF4" s="35">
        <f t="shared" si="9"/>
        <v>31</v>
      </c>
      <c r="BG4" s="35">
        <f t="shared" si="9"/>
        <v>30</v>
      </c>
      <c r="BH4" s="35">
        <f t="shared" ref="BH4:BI4" si="10">BI3-BH3</f>
        <v>31</v>
      </c>
      <c r="BI4" s="35">
        <f t="shared" si="10"/>
        <v>31</v>
      </c>
    </row>
    <row r="5" spans="1:119">
      <c r="A5" s="18" t="s">
        <v>9</v>
      </c>
      <c r="B5" s="19">
        <v>1</v>
      </c>
      <c r="C5" s="35">
        <f>B5+1</f>
        <v>2</v>
      </c>
      <c r="D5" s="35">
        <f t="shared" ref="D5:AK5" si="11">C5+1</f>
        <v>3</v>
      </c>
      <c r="E5" s="35">
        <f t="shared" si="11"/>
        <v>4</v>
      </c>
      <c r="F5" s="35">
        <f t="shared" si="11"/>
        <v>5</v>
      </c>
      <c r="G5" s="35">
        <f t="shared" si="11"/>
        <v>6</v>
      </c>
      <c r="H5" s="35">
        <f t="shared" si="11"/>
        <v>7</v>
      </c>
      <c r="I5" s="35">
        <f t="shared" si="11"/>
        <v>8</v>
      </c>
      <c r="J5" s="35">
        <f t="shared" si="11"/>
        <v>9</v>
      </c>
      <c r="K5" s="35">
        <f t="shared" si="11"/>
        <v>10</v>
      </c>
      <c r="L5" s="35">
        <f t="shared" si="11"/>
        <v>11</v>
      </c>
      <c r="M5" s="35">
        <f t="shared" si="11"/>
        <v>12</v>
      </c>
      <c r="N5" s="35">
        <f t="shared" si="11"/>
        <v>13</v>
      </c>
      <c r="O5" s="35">
        <f t="shared" si="11"/>
        <v>14</v>
      </c>
      <c r="P5" s="35">
        <f t="shared" si="11"/>
        <v>15</v>
      </c>
      <c r="Q5" s="35">
        <f t="shared" si="11"/>
        <v>16</v>
      </c>
      <c r="R5" s="35">
        <f t="shared" si="11"/>
        <v>17</v>
      </c>
      <c r="S5" s="35">
        <f t="shared" si="11"/>
        <v>18</v>
      </c>
      <c r="T5" s="35">
        <f t="shared" si="11"/>
        <v>19</v>
      </c>
      <c r="U5" s="35">
        <f t="shared" si="11"/>
        <v>20</v>
      </c>
      <c r="V5" s="35">
        <f t="shared" si="11"/>
        <v>21</v>
      </c>
      <c r="W5" s="35">
        <f t="shared" si="11"/>
        <v>22</v>
      </c>
      <c r="X5" s="35">
        <f t="shared" si="11"/>
        <v>23</v>
      </c>
      <c r="Y5" s="35">
        <f t="shared" si="11"/>
        <v>24</v>
      </c>
      <c r="Z5" s="35">
        <f t="shared" si="11"/>
        <v>25</v>
      </c>
      <c r="AA5" s="35">
        <f t="shared" si="11"/>
        <v>26</v>
      </c>
      <c r="AB5" s="35">
        <f t="shared" si="11"/>
        <v>27</v>
      </c>
      <c r="AC5" s="35">
        <f t="shared" si="11"/>
        <v>28</v>
      </c>
      <c r="AD5" s="35">
        <f t="shared" si="11"/>
        <v>29</v>
      </c>
      <c r="AE5" s="35">
        <f t="shared" si="11"/>
        <v>30</v>
      </c>
      <c r="AF5" s="35">
        <f t="shared" si="11"/>
        <v>31</v>
      </c>
      <c r="AG5" s="35">
        <f t="shared" si="11"/>
        <v>32</v>
      </c>
      <c r="AH5" s="35">
        <f t="shared" si="11"/>
        <v>33</v>
      </c>
      <c r="AI5" s="35">
        <f>AH5+1</f>
        <v>34</v>
      </c>
      <c r="AJ5" s="35">
        <f t="shared" si="11"/>
        <v>35</v>
      </c>
      <c r="AK5" s="35">
        <f t="shared" si="11"/>
        <v>36</v>
      </c>
      <c r="AL5" s="35">
        <f t="shared" ref="AL5:BH5" si="12">AK5+1</f>
        <v>37</v>
      </c>
      <c r="AM5" s="35">
        <f t="shared" si="12"/>
        <v>38</v>
      </c>
      <c r="AN5" s="35">
        <f t="shared" si="12"/>
        <v>39</v>
      </c>
      <c r="AO5" s="35">
        <f t="shared" si="12"/>
        <v>40</v>
      </c>
      <c r="AP5" s="35">
        <f t="shared" si="12"/>
        <v>41</v>
      </c>
      <c r="AQ5" s="35">
        <f t="shared" si="12"/>
        <v>42</v>
      </c>
      <c r="AR5" s="35">
        <f t="shared" si="12"/>
        <v>43</v>
      </c>
      <c r="AS5" s="35">
        <f t="shared" si="12"/>
        <v>44</v>
      </c>
      <c r="AT5" s="35">
        <f t="shared" si="12"/>
        <v>45</v>
      </c>
      <c r="AU5" s="35">
        <f t="shared" si="12"/>
        <v>46</v>
      </c>
      <c r="AV5" s="35">
        <f t="shared" si="12"/>
        <v>47</v>
      </c>
      <c r="AW5" s="35">
        <f t="shared" si="12"/>
        <v>48</v>
      </c>
      <c r="AX5" s="35">
        <f t="shared" si="12"/>
        <v>49</v>
      </c>
      <c r="AY5" s="35">
        <f t="shared" si="12"/>
        <v>50</v>
      </c>
      <c r="AZ5" s="35">
        <f t="shared" si="12"/>
        <v>51</v>
      </c>
      <c r="BA5" s="35">
        <f t="shared" si="12"/>
        <v>52</v>
      </c>
      <c r="BB5" s="35">
        <f t="shared" si="12"/>
        <v>53</v>
      </c>
      <c r="BC5" s="35">
        <f t="shared" si="12"/>
        <v>54</v>
      </c>
      <c r="BD5" s="35">
        <f t="shared" si="12"/>
        <v>55</v>
      </c>
      <c r="BE5" s="35">
        <f t="shared" si="12"/>
        <v>56</v>
      </c>
      <c r="BF5" s="35">
        <f t="shared" si="12"/>
        <v>57</v>
      </c>
      <c r="BG5" s="35">
        <f t="shared" si="12"/>
        <v>58</v>
      </c>
      <c r="BH5" s="35">
        <f t="shared" si="12"/>
        <v>59</v>
      </c>
      <c r="BI5" s="35">
        <f t="shared" ref="BI5" si="13">BH5+1</f>
        <v>60</v>
      </c>
    </row>
    <row r="6" spans="1:119">
      <c r="B6" s="4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1"/>
      <c r="BK6" s="4"/>
      <c r="BM6" s="4"/>
      <c r="BO6" s="4"/>
      <c r="BQ6" s="4"/>
      <c r="BS6" s="4"/>
      <c r="BU6" s="4"/>
      <c r="BW6" s="4"/>
      <c r="BY6" s="4"/>
      <c r="CA6" s="4"/>
      <c r="CC6" s="4"/>
      <c r="CE6" s="4"/>
      <c r="CG6" s="4"/>
      <c r="CI6" s="4"/>
      <c r="CK6" s="4"/>
      <c r="CM6" s="4"/>
      <c r="CO6" s="4"/>
      <c r="CQ6" s="4"/>
      <c r="CS6" s="4"/>
      <c r="CU6" s="4"/>
      <c r="CW6" s="4"/>
      <c r="CY6" s="4"/>
      <c r="DA6" s="4"/>
      <c r="DC6" s="4"/>
      <c r="DE6" s="4"/>
      <c r="DG6" s="4"/>
      <c r="DI6" s="4"/>
      <c r="DK6" s="4"/>
      <c r="DM6" s="4"/>
      <c r="DO6" s="4"/>
    </row>
    <row r="7" spans="1:119">
      <c r="B7" s="4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</row>
    <row r="8" spans="1:119">
      <c r="A8" s="18" t="s">
        <v>28</v>
      </c>
      <c r="B8" s="120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5" t="s">
        <v>11</v>
      </c>
    </row>
    <row r="9" spans="1:119" s="39" customFormat="1">
      <c r="A9" s="100" t="str">
        <f>Инвестиции!A2</f>
        <v>Здания и сооружения</v>
      </c>
      <c r="B9" s="248">
        <v>1</v>
      </c>
      <c r="C9" s="248"/>
      <c r="D9" s="24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8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>
        <f>SUM(B9:BI9)</f>
        <v>1</v>
      </c>
    </row>
    <row r="10" spans="1:119" s="39" customFormat="1">
      <c r="A10" s="100" t="str">
        <f>Инвестиции!A13</f>
        <v>Оборудование и инвентарь</v>
      </c>
      <c r="B10" s="248">
        <v>0.5</v>
      </c>
      <c r="C10" s="248">
        <v>0.3</v>
      </c>
      <c r="D10" s="248">
        <v>0.2</v>
      </c>
      <c r="E10" s="218"/>
      <c r="F10" s="218"/>
      <c r="G10" s="218"/>
      <c r="H10" s="218"/>
      <c r="I10" s="218"/>
      <c r="J10" s="218"/>
      <c r="K10" s="218"/>
      <c r="L10" s="218"/>
      <c r="M10" s="218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4">
        <f>SUM(B10:BI10)</f>
        <v>1</v>
      </c>
    </row>
    <row r="11" spans="1:119" s="39" customFormat="1">
      <c r="A11" s="100" t="str">
        <f>Инвестиции!A33</f>
        <v>Прочие подготовительные расходы</v>
      </c>
      <c r="B11" s="248">
        <v>0.5</v>
      </c>
      <c r="C11" s="248">
        <v>0.3</v>
      </c>
      <c r="D11" s="248">
        <v>0.2</v>
      </c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18"/>
      <c r="X11" s="218"/>
      <c r="Y11" s="218"/>
      <c r="Z11" s="218"/>
      <c r="AA11" s="218"/>
      <c r="AB11" s="218"/>
      <c r="AC11" s="218"/>
      <c r="AD11" s="218"/>
      <c r="AE11" s="218"/>
      <c r="AF11" s="218"/>
      <c r="AG11" s="218"/>
      <c r="AH11" s="218"/>
      <c r="AI11" s="218"/>
      <c r="AJ11" s="218"/>
      <c r="AK11" s="218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14"/>
      <c r="BJ11" s="114">
        <f>SUM(B11:BI11)</f>
        <v>1</v>
      </c>
    </row>
    <row r="12" spans="1:119">
      <c r="A12" s="40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111"/>
      <c r="R12" s="111"/>
      <c r="S12" s="111"/>
      <c r="T12" s="111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41"/>
      <c r="BK12" s="32"/>
      <c r="BL12" s="32"/>
      <c r="BM12" s="32"/>
    </row>
    <row r="13" spans="1:119">
      <c r="A13" s="18" t="s">
        <v>263</v>
      </c>
      <c r="B13" s="4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42"/>
      <c r="BK13" s="32"/>
      <c r="BL13" s="32"/>
      <c r="BM13" s="32"/>
    </row>
    <row r="14" spans="1:119" s="39" customFormat="1">
      <c r="A14" s="100" t="str">
        <f>A9</f>
        <v>Здания и сооружения</v>
      </c>
      <c r="B14" s="101">
        <f>Инвестиции!$D12*B9/(1+Допущения!$C$68)/1000</f>
        <v>74166.666666666672</v>
      </c>
      <c r="C14" s="101">
        <f>Инвестиции!$D12*C9/(1+Допущения!$C$68)/1000</f>
        <v>0</v>
      </c>
      <c r="D14" s="101">
        <f>Инвестиции!$D12*D9/(1+Допущения!$C$68)/1000</f>
        <v>0</v>
      </c>
      <c r="E14" s="101">
        <f>Инвестиции!$D12*E9/(1+Допущения!$C$68)/1000</f>
        <v>0</v>
      </c>
      <c r="F14" s="101">
        <f>Инвестиции!$D12*F9/(1+Допущения!$C$68)/1000</f>
        <v>0</v>
      </c>
      <c r="G14" s="101">
        <f>Инвестиции!$D12*G9/(1+Допущения!$C$68)/1000</f>
        <v>0</v>
      </c>
      <c r="H14" s="101">
        <f>Инвестиции!$D12*H9/(1+Допущения!$C$68)/1000</f>
        <v>0</v>
      </c>
      <c r="I14" s="101">
        <f>Инвестиции!$D12*I9/(1+Допущения!$C$68)/1000</f>
        <v>0</v>
      </c>
      <c r="J14" s="101">
        <f>Инвестиции!$D12*J9/(1+Допущения!$C$68)/1000</f>
        <v>0</v>
      </c>
      <c r="K14" s="101">
        <f>Инвестиции!$D12*K9/(1+Допущения!$C$68)/1000</f>
        <v>0</v>
      </c>
      <c r="L14" s="101">
        <f>Инвестиции!$D12*L9/(1+Допущения!$C$68)/1000</f>
        <v>0</v>
      </c>
      <c r="M14" s="101">
        <f>Инвестиции!$D12*M9/(1+Допущения!$C$68)/1000</f>
        <v>0</v>
      </c>
      <c r="N14" s="101">
        <f>Инвестиции!$D12*N9/(1+Допущения!$C$68)/1000</f>
        <v>0</v>
      </c>
      <c r="O14" s="101">
        <f>Инвестиции!$D12*O9/(1+Допущения!$C$68)/1000</f>
        <v>0</v>
      </c>
      <c r="P14" s="101">
        <f>Инвестиции!$D12*P9/(1+Допущения!$C$68)/1000</f>
        <v>0</v>
      </c>
      <c r="Q14" s="101">
        <f>Инвестиции!$D12*Q9/(1+Допущения!$C$68)/1000</f>
        <v>0</v>
      </c>
      <c r="R14" s="101">
        <f>Инвестиции!$D12*R9/(1+Допущения!$C$68)/1000</f>
        <v>0</v>
      </c>
      <c r="S14" s="101">
        <f>Инвестиции!$D12*S9/(1+Допущения!$C$68)/1000</f>
        <v>0</v>
      </c>
      <c r="T14" s="101">
        <f>Инвестиции!$D12*T9/(1+Допущения!$C$68)/1000</f>
        <v>0</v>
      </c>
      <c r="U14" s="101">
        <f>Инвестиции!$D12*U9/(1+Допущения!$C$68)/1000</f>
        <v>0</v>
      </c>
      <c r="V14" s="101">
        <f>Инвестиции!$D12*V9/(1+Допущения!$C$68)/1000</f>
        <v>0</v>
      </c>
      <c r="W14" s="101">
        <f>Инвестиции!$D12*W9/(1+Допущения!$C$68)/1000</f>
        <v>0</v>
      </c>
      <c r="X14" s="101">
        <f>Инвестиции!$D12*X9/(1+Допущения!$C$68)/1000</f>
        <v>0</v>
      </c>
      <c r="Y14" s="101">
        <f>Инвестиции!$D12*Y9/(1+Допущения!$C$68)/1000</f>
        <v>0</v>
      </c>
      <c r="Z14" s="101">
        <f>Инвестиции!$D12*Z9/(1+Допущения!$C$68)/1000</f>
        <v>0</v>
      </c>
      <c r="AA14" s="101">
        <f>Инвестиции!$D12*AA9/(1+Допущения!$C$68)/1000</f>
        <v>0</v>
      </c>
      <c r="AB14" s="101">
        <f>Инвестиции!$D12*AB9/(1+Допущения!$C$68)/1000</f>
        <v>0</v>
      </c>
      <c r="AC14" s="101">
        <f>Инвестиции!$D12*AC9/(1+Допущения!$C$68)/1000</f>
        <v>0</v>
      </c>
      <c r="AD14" s="101">
        <f>Инвестиции!$D12*AD9/(1+Допущения!$C$68)/1000</f>
        <v>0</v>
      </c>
      <c r="AE14" s="101">
        <f>Инвестиции!$D12*AE9/(1+Допущения!$C$68)/1000</f>
        <v>0</v>
      </c>
      <c r="AF14" s="101">
        <f>Инвестиции!$D12*AF9/(1+Допущения!$C$68)/1000</f>
        <v>0</v>
      </c>
      <c r="AG14" s="101">
        <f>Инвестиции!$D12*AG9/(1+Допущения!$C$68)/1000</f>
        <v>0</v>
      </c>
      <c r="AH14" s="101">
        <f>Инвестиции!$D12*AH9/(1+Допущения!$C$68)/1000</f>
        <v>0</v>
      </c>
      <c r="AI14" s="101">
        <f>Инвестиции!$D12*AI9/(1+Допущения!$C$68)/1000</f>
        <v>0</v>
      </c>
      <c r="AJ14" s="101">
        <f>Инвестиции!$D12*AJ9/(1+Допущения!$C$68)/1000</f>
        <v>0</v>
      </c>
      <c r="AK14" s="101">
        <f>Инвестиции!$D12*AK9/(1+Допущения!$C$68)/1000</f>
        <v>0</v>
      </c>
      <c r="AL14" s="101">
        <f>Инвестиции!$D12*AL9/(1+Допущения!$C$68)/1000</f>
        <v>0</v>
      </c>
      <c r="AM14" s="101">
        <f>Инвестиции!$D12*AM9/(1+Допущения!$C$68)/1000</f>
        <v>0</v>
      </c>
      <c r="AN14" s="101">
        <f>Инвестиции!$D12*AN9/(1+Допущения!$C$68)/1000</f>
        <v>0</v>
      </c>
      <c r="AO14" s="101">
        <f>Инвестиции!$D12*AO9/(1+Допущения!$C$68)/1000</f>
        <v>0</v>
      </c>
      <c r="AP14" s="101">
        <f>Инвестиции!$D12*AP9/(1+Допущения!$C$68)/1000</f>
        <v>0</v>
      </c>
      <c r="AQ14" s="101">
        <f>Инвестиции!$D12*AQ9/(1+Допущения!$C$68)/1000</f>
        <v>0</v>
      </c>
      <c r="AR14" s="101">
        <f>Инвестиции!$D12*AR9/(1+Допущения!$C$68)/1000</f>
        <v>0</v>
      </c>
      <c r="AS14" s="101">
        <f>Инвестиции!$D12*AS9/(1+Допущения!$C$68)/1000</f>
        <v>0</v>
      </c>
      <c r="AT14" s="101">
        <f>Инвестиции!$D12*AT9/(1+Допущения!$C$68)/1000</f>
        <v>0</v>
      </c>
      <c r="AU14" s="101">
        <f>Инвестиции!$D12*AU9/(1+Допущения!$C$68)/1000</f>
        <v>0</v>
      </c>
      <c r="AV14" s="101">
        <f>Инвестиции!$D12*AV9/(1+Допущения!$C$68)/1000</f>
        <v>0</v>
      </c>
      <c r="AW14" s="101">
        <f>Инвестиции!$D12*AW9/(1+Допущения!$C$68)/1000</f>
        <v>0</v>
      </c>
      <c r="AX14" s="101">
        <f>Инвестиции!$D12*AX9/(1+Допущения!$C$68)/1000</f>
        <v>0</v>
      </c>
      <c r="AY14" s="101">
        <f>Инвестиции!$D12*AY9/(1+Допущения!$C$68)/1000</f>
        <v>0</v>
      </c>
      <c r="AZ14" s="101">
        <f>Инвестиции!$D12*AZ9/(1+Допущения!$C$68)/1000</f>
        <v>0</v>
      </c>
      <c r="BA14" s="101">
        <f>Инвестиции!$D12*BA9/(1+Допущения!$C$68)/1000</f>
        <v>0</v>
      </c>
      <c r="BB14" s="101">
        <f>Инвестиции!$D12*BB9/(1+Допущения!$C$68)/1000</f>
        <v>0</v>
      </c>
      <c r="BC14" s="101">
        <f>Инвестиции!$D12*BC9/(1+Допущения!$C$68)/1000</f>
        <v>0</v>
      </c>
      <c r="BD14" s="101">
        <f>Инвестиции!$D12*BD9/(1+Допущения!$C$68)/1000</f>
        <v>0</v>
      </c>
      <c r="BE14" s="101">
        <f>Инвестиции!$D12*BE9/(1+Допущения!$C$68)/1000</f>
        <v>0</v>
      </c>
      <c r="BF14" s="101">
        <f>Инвестиции!$D12*BF9/(1+Допущения!$C$68)/1000</f>
        <v>0</v>
      </c>
      <c r="BG14" s="101">
        <f>Инвестиции!$D12*BG9/(1+Допущения!$C$68)/1000</f>
        <v>0</v>
      </c>
      <c r="BH14" s="101">
        <f>Инвестиции!$D12*BH9/(1+Допущения!$C$68)/1000</f>
        <v>0</v>
      </c>
      <c r="BI14" s="101">
        <f>Инвестиции!$D12*BI9/(1+Допущения!$C$68)/1000</f>
        <v>0</v>
      </c>
      <c r="BJ14" s="168">
        <f>SUM(B14:BI14)</f>
        <v>74166.666666666672</v>
      </c>
      <c r="BK14" s="43"/>
      <c r="BL14" s="43"/>
      <c r="BM14" s="43"/>
    </row>
    <row r="15" spans="1:119" s="39" customFormat="1">
      <c r="A15" s="100" t="str">
        <f>A10</f>
        <v>Оборудование и инвентарь</v>
      </c>
      <c r="B15" s="101">
        <f>Инвестиции!$D32*B10/(1+Допущения!$C$68)/1000</f>
        <v>31697.245833333334</v>
      </c>
      <c r="C15" s="101">
        <f>Инвестиции!$D32*C10/(1+Допущения!$C$68)/1000</f>
        <v>19018.3475</v>
      </c>
      <c r="D15" s="101">
        <f>Инвестиции!$D32*D10/(1+Допущения!$C$68)/1000</f>
        <v>12678.898333333334</v>
      </c>
      <c r="E15" s="101">
        <f>Инвестиции!$D32*E10/(1+Допущения!$C$68)/1000</f>
        <v>0</v>
      </c>
      <c r="F15" s="101">
        <f>Инвестиции!$D32*F10/(1+Допущения!$C$68)/1000</f>
        <v>0</v>
      </c>
      <c r="G15" s="101">
        <f>Инвестиции!$D32*G10/(1+Допущения!$C$68)/1000</f>
        <v>0</v>
      </c>
      <c r="H15" s="101">
        <f>Инвестиции!$D32*H10/(1+Допущения!$C$68)/1000</f>
        <v>0</v>
      </c>
      <c r="I15" s="101">
        <f>Инвестиции!$D32*I10/(1+Допущения!$C$68)/1000</f>
        <v>0</v>
      </c>
      <c r="J15" s="101">
        <f>Инвестиции!$D32*J10/(1+Допущения!$C$68)/1000</f>
        <v>0</v>
      </c>
      <c r="K15" s="101">
        <f>Инвестиции!$D32*K10/(1+Допущения!$C$68)/1000</f>
        <v>0</v>
      </c>
      <c r="L15" s="101">
        <f>Инвестиции!$D32*L10/(1+Допущения!$C$68)/1000</f>
        <v>0</v>
      </c>
      <c r="M15" s="101">
        <f>Инвестиции!$D32*M10/(1+Допущения!$C$68)/1000</f>
        <v>0</v>
      </c>
      <c r="N15" s="101">
        <f>Инвестиции!$D32*N10/(1+Допущения!$C$68)/1000</f>
        <v>0</v>
      </c>
      <c r="O15" s="101">
        <f>Инвестиции!$D32*O10/(1+Допущения!$C$68)/1000</f>
        <v>0</v>
      </c>
      <c r="P15" s="101">
        <f>Инвестиции!$D32*P10/(1+Допущения!$C$68)/1000</f>
        <v>0</v>
      </c>
      <c r="Q15" s="101">
        <f>Инвестиции!$D32*Q10/(1+Допущения!$C$68)/1000</f>
        <v>0</v>
      </c>
      <c r="R15" s="101">
        <f>Инвестиции!$D32*R10/(1+Допущения!$C$68)/1000</f>
        <v>0</v>
      </c>
      <c r="S15" s="101">
        <f>Инвестиции!$D32*S10/(1+Допущения!$C$68)/1000</f>
        <v>0</v>
      </c>
      <c r="T15" s="101">
        <f>Инвестиции!$D32*T10/(1+Допущения!$C$68)/1000</f>
        <v>0</v>
      </c>
      <c r="U15" s="101">
        <f>Инвестиции!$D32*U10/(1+Допущения!$C$68)/1000</f>
        <v>0</v>
      </c>
      <c r="V15" s="101">
        <f>Инвестиции!$D32*V10/(1+Допущения!$C$68)/1000</f>
        <v>0</v>
      </c>
      <c r="W15" s="101">
        <f>Инвестиции!$D32*W10/(1+Допущения!$C$68)/1000</f>
        <v>0</v>
      </c>
      <c r="X15" s="101">
        <f>Инвестиции!$D32*X10/(1+Допущения!$C$68)/1000</f>
        <v>0</v>
      </c>
      <c r="Y15" s="101">
        <f>Инвестиции!$D32*Y10/(1+Допущения!$C$68)/1000</f>
        <v>0</v>
      </c>
      <c r="Z15" s="101">
        <f>Инвестиции!$D32*Z10/(1+Допущения!$C$68)/1000</f>
        <v>0</v>
      </c>
      <c r="AA15" s="101">
        <f>Инвестиции!$D32*AA10/(1+Допущения!$C$68)/1000</f>
        <v>0</v>
      </c>
      <c r="AB15" s="101">
        <f>Инвестиции!$D32*AB10/(1+Допущения!$C$68)/1000</f>
        <v>0</v>
      </c>
      <c r="AC15" s="101">
        <f>Инвестиции!$D32*AC10/(1+Допущения!$C$68)/1000</f>
        <v>0</v>
      </c>
      <c r="AD15" s="101">
        <f>Инвестиции!$D32*AD10/(1+Допущения!$C$68)/1000</f>
        <v>0</v>
      </c>
      <c r="AE15" s="101">
        <f>Инвестиции!$D32*AE10/(1+Допущения!$C$68)/1000</f>
        <v>0</v>
      </c>
      <c r="AF15" s="101">
        <f>Инвестиции!$D32*AF10/(1+Допущения!$C$68)/1000</f>
        <v>0</v>
      </c>
      <c r="AG15" s="101">
        <f>Инвестиции!$D32*AG10/(1+Допущения!$C$68)/1000</f>
        <v>0</v>
      </c>
      <c r="AH15" s="101">
        <f>Инвестиции!$D32*AH10/(1+Допущения!$C$68)/1000</f>
        <v>0</v>
      </c>
      <c r="AI15" s="101">
        <f>Инвестиции!$D32*AI10/(1+Допущения!$C$68)/1000</f>
        <v>0</v>
      </c>
      <c r="AJ15" s="101">
        <f>Инвестиции!$D32*AJ10/(1+Допущения!$C$68)/1000</f>
        <v>0</v>
      </c>
      <c r="AK15" s="101">
        <f>Инвестиции!$D32*AK10/(1+Допущения!$C$68)/1000</f>
        <v>0</v>
      </c>
      <c r="AL15" s="101">
        <f>Инвестиции!$D32*AL10/(1+Допущения!$C$68)/1000</f>
        <v>0</v>
      </c>
      <c r="AM15" s="101">
        <f>Инвестиции!$D32*AM10/(1+Допущения!$C$68)/1000</f>
        <v>0</v>
      </c>
      <c r="AN15" s="101">
        <f>Инвестиции!$D32*AN10/(1+Допущения!$C$68)/1000</f>
        <v>0</v>
      </c>
      <c r="AO15" s="101">
        <f>Инвестиции!$D32*AO10/(1+Допущения!$C$68)/1000</f>
        <v>0</v>
      </c>
      <c r="AP15" s="101">
        <f>Инвестиции!$D32*AP10/(1+Допущения!$C$68)/1000</f>
        <v>0</v>
      </c>
      <c r="AQ15" s="101">
        <f>Инвестиции!$D32*AQ10/(1+Допущения!$C$68)/1000</f>
        <v>0</v>
      </c>
      <c r="AR15" s="101">
        <f>Инвестиции!$D32*AR10/(1+Допущения!$C$68)/1000</f>
        <v>0</v>
      </c>
      <c r="AS15" s="101">
        <f>Инвестиции!$D32*AS10/(1+Допущения!$C$68)/1000</f>
        <v>0</v>
      </c>
      <c r="AT15" s="101">
        <f>Инвестиции!$D32*AT10/(1+Допущения!$C$68)/1000</f>
        <v>0</v>
      </c>
      <c r="AU15" s="101">
        <f>Инвестиции!$D32*AU10/(1+Допущения!$C$68)/1000</f>
        <v>0</v>
      </c>
      <c r="AV15" s="101">
        <f>Инвестиции!$D32*AV10/(1+Допущения!$C$68)/1000</f>
        <v>0</v>
      </c>
      <c r="AW15" s="101">
        <f>Инвестиции!$D32*AW10/(1+Допущения!$C$68)/1000</f>
        <v>0</v>
      </c>
      <c r="AX15" s="101">
        <f>Инвестиции!$D32*AX10/(1+Допущения!$C$68)/1000</f>
        <v>0</v>
      </c>
      <c r="AY15" s="101">
        <f>Инвестиции!$D32*AY10/(1+Допущения!$C$68)/1000</f>
        <v>0</v>
      </c>
      <c r="AZ15" s="101">
        <f>Инвестиции!$D32*AZ10/(1+Допущения!$C$68)/1000</f>
        <v>0</v>
      </c>
      <c r="BA15" s="101">
        <f>Инвестиции!$D32*BA10/(1+Допущения!$C$68)/1000</f>
        <v>0</v>
      </c>
      <c r="BB15" s="101">
        <f>Инвестиции!$D32*BB10/(1+Допущения!$C$68)/1000</f>
        <v>0</v>
      </c>
      <c r="BC15" s="101">
        <f>Инвестиции!$D32*BC10/(1+Допущения!$C$68)/1000</f>
        <v>0</v>
      </c>
      <c r="BD15" s="101">
        <f>Инвестиции!$D32*BD10/(1+Допущения!$C$68)/1000</f>
        <v>0</v>
      </c>
      <c r="BE15" s="101">
        <f>Инвестиции!$D32*BE10/(1+Допущения!$C$68)/1000</f>
        <v>0</v>
      </c>
      <c r="BF15" s="101">
        <f>Инвестиции!$D32*BF10/(1+Допущения!$C$68)/1000</f>
        <v>0</v>
      </c>
      <c r="BG15" s="101">
        <f>Инвестиции!$D32*BG10/(1+Допущения!$C$68)/1000</f>
        <v>0</v>
      </c>
      <c r="BH15" s="101">
        <f>Инвестиции!$D32*BH10/(1+Допущения!$C$68)/1000</f>
        <v>0</v>
      </c>
      <c r="BI15" s="101">
        <f>Инвестиции!$D32*BI10/(1+Допущения!$C$68)/1000</f>
        <v>0</v>
      </c>
      <c r="BJ15" s="168">
        <f>SUM(B15:BI15)</f>
        <v>63394.491666666669</v>
      </c>
      <c r="BK15" s="43"/>
      <c r="BL15" s="43"/>
      <c r="BM15" s="43"/>
    </row>
    <row r="16" spans="1:119" s="39" customFormat="1">
      <c r="A16" s="100" t="str">
        <f>A11</f>
        <v>Прочие подготовительные расходы</v>
      </c>
      <c r="B16" s="101">
        <f>Инвестиции!$D48*B11/(1+Допущения!$C$68)/1000</f>
        <v>2204.166666666667</v>
      </c>
      <c r="C16" s="101">
        <f>Инвестиции!$D48*C11/(1+Допущения!$C$68)/1000</f>
        <v>1322.5</v>
      </c>
      <c r="D16" s="101">
        <f>Инвестиции!$D48*D11/(1+Допущения!$C$68)/1000</f>
        <v>881.66666666666674</v>
      </c>
      <c r="E16" s="101">
        <f>Инвестиции!$D48*E11/(1+Допущения!$C$68)/1000</f>
        <v>0</v>
      </c>
      <c r="F16" s="101">
        <f>Инвестиции!$D48*F11/(1+Допущения!$C$68)/1000</f>
        <v>0</v>
      </c>
      <c r="G16" s="101">
        <f>Инвестиции!$D48*G11/(1+Допущения!$C$68)/1000</f>
        <v>0</v>
      </c>
      <c r="H16" s="101">
        <f>Инвестиции!$D48*H11/(1+Допущения!$C$68)/1000</f>
        <v>0</v>
      </c>
      <c r="I16" s="101">
        <f>Инвестиции!$D48*I11/(1+Допущения!$C$68)/1000</f>
        <v>0</v>
      </c>
      <c r="J16" s="101">
        <f>Инвестиции!$D48*J11/(1+Допущения!$C$68)/1000</f>
        <v>0</v>
      </c>
      <c r="K16" s="101">
        <f>Инвестиции!$D48*K11/(1+Допущения!$C$68)/1000</f>
        <v>0</v>
      </c>
      <c r="L16" s="101">
        <f>Инвестиции!$D48*L11/(1+Допущения!$C$68)/1000</f>
        <v>0</v>
      </c>
      <c r="M16" s="101">
        <f>Инвестиции!$D48*M11/(1+Допущения!$C$68)/1000</f>
        <v>0</v>
      </c>
      <c r="N16" s="101">
        <f>Инвестиции!$D48*N11/(1+Допущения!$C$68)/1000</f>
        <v>0</v>
      </c>
      <c r="O16" s="101">
        <f>Инвестиции!$D48*O11/(1+Допущения!$C$68)/1000</f>
        <v>0</v>
      </c>
      <c r="P16" s="101">
        <f>Инвестиции!$D48*P11/(1+Допущения!$C$68)/1000</f>
        <v>0</v>
      </c>
      <c r="Q16" s="101">
        <f>Инвестиции!$D48*Q11/(1+Допущения!$C$68)/1000</f>
        <v>0</v>
      </c>
      <c r="R16" s="101">
        <f>Инвестиции!$D48*R11/(1+Допущения!$C$68)/1000</f>
        <v>0</v>
      </c>
      <c r="S16" s="101">
        <f>Инвестиции!$D48*S11/(1+Допущения!$C$68)/1000</f>
        <v>0</v>
      </c>
      <c r="T16" s="101">
        <f>Инвестиции!$D48*T11/(1+Допущения!$C$68)/1000</f>
        <v>0</v>
      </c>
      <c r="U16" s="101">
        <f>Инвестиции!$D48*U11/(1+Допущения!$C$68)/1000</f>
        <v>0</v>
      </c>
      <c r="V16" s="101">
        <f>Инвестиции!$D48*V11/(1+Допущения!$C$68)/1000</f>
        <v>0</v>
      </c>
      <c r="W16" s="101">
        <f>Инвестиции!$D48*W11/(1+Допущения!$C$68)/1000</f>
        <v>0</v>
      </c>
      <c r="X16" s="101">
        <f>Инвестиции!$D48*X11/(1+Допущения!$C$68)/1000</f>
        <v>0</v>
      </c>
      <c r="Y16" s="101">
        <f>Инвестиции!$D48*Y11/(1+Допущения!$C$68)/1000</f>
        <v>0</v>
      </c>
      <c r="Z16" s="101">
        <f>Инвестиции!$D48*Z11/(1+Допущения!$C$68)/1000</f>
        <v>0</v>
      </c>
      <c r="AA16" s="101">
        <f>Инвестиции!$D48*AA11/(1+Допущения!$C$68)/1000</f>
        <v>0</v>
      </c>
      <c r="AB16" s="101">
        <f>Инвестиции!$D48*AB11/(1+Допущения!$C$68)/1000</f>
        <v>0</v>
      </c>
      <c r="AC16" s="101">
        <f>Инвестиции!$D48*AC11/(1+Допущения!$C$68)/1000</f>
        <v>0</v>
      </c>
      <c r="AD16" s="101">
        <f>Инвестиции!$D48*AD11/(1+Допущения!$C$68)/1000</f>
        <v>0</v>
      </c>
      <c r="AE16" s="101">
        <f>Инвестиции!$D48*AE11/(1+Допущения!$C$68)/1000</f>
        <v>0</v>
      </c>
      <c r="AF16" s="101">
        <f>Инвестиции!$D48*AF11/(1+Допущения!$C$68)/1000</f>
        <v>0</v>
      </c>
      <c r="AG16" s="101">
        <f>Инвестиции!$D48*AG11/(1+Допущения!$C$68)/1000</f>
        <v>0</v>
      </c>
      <c r="AH16" s="101">
        <f>Инвестиции!$D48*AH11/(1+Допущения!$C$68)/1000</f>
        <v>0</v>
      </c>
      <c r="AI16" s="101">
        <f>Инвестиции!$D48*AI11/(1+Допущения!$C$68)/1000</f>
        <v>0</v>
      </c>
      <c r="AJ16" s="101">
        <f>Инвестиции!$D48*AJ11/(1+Допущения!$C$68)/1000</f>
        <v>0</v>
      </c>
      <c r="AK16" s="101">
        <f>Инвестиции!$D48*AK11/(1+Допущения!$C$68)/1000</f>
        <v>0</v>
      </c>
      <c r="AL16" s="101">
        <f>Инвестиции!$D48*AL11/(1+Допущения!$C$68)/1000</f>
        <v>0</v>
      </c>
      <c r="AM16" s="101">
        <f>Инвестиции!$D48*AM11/(1+Допущения!$C$68)/1000</f>
        <v>0</v>
      </c>
      <c r="AN16" s="101">
        <f>Инвестиции!$D48*AN11/(1+Допущения!$C$68)/1000</f>
        <v>0</v>
      </c>
      <c r="AO16" s="101">
        <f>Инвестиции!$D48*AO11/(1+Допущения!$C$68)/1000</f>
        <v>0</v>
      </c>
      <c r="AP16" s="101">
        <f>Инвестиции!$D48*AP11/(1+Допущения!$C$68)/1000</f>
        <v>0</v>
      </c>
      <c r="AQ16" s="101">
        <f>Инвестиции!$D48*AQ11/(1+Допущения!$C$68)/1000</f>
        <v>0</v>
      </c>
      <c r="AR16" s="101">
        <f>Инвестиции!$D48*AR11/(1+Допущения!$C$68)/1000</f>
        <v>0</v>
      </c>
      <c r="AS16" s="101">
        <f>Инвестиции!$D48*AS11/(1+Допущения!$C$68)/1000</f>
        <v>0</v>
      </c>
      <c r="AT16" s="101">
        <f>Инвестиции!$D48*AT11/(1+Допущения!$C$68)/1000</f>
        <v>0</v>
      </c>
      <c r="AU16" s="101">
        <f>Инвестиции!$D48*AU11/(1+Допущения!$C$68)/1000</f>
        <v>0</v>
      </c>
      <c r="AV16" s="101">
        <f>Инвестиции!$D48*AV11/(1+Допущения!$C$68)/1000</f>
        <v>0</v>
      </c>
      <c r="AW16" s="101">
        <f>Инвестиции!$D48*AW11/(1+Допущения!$C$68)/1000</f>
        <v>0</v>
      </c>
      <c r="AX16" s="101">
        <f>Инвестиции!$D48*AX11/(1+Допущения!$C$68)/1000</f>
        <v>0</v>
      </c>
      <c r="AY16" s="101">
        <f>Инвестиции!$D48*AY11/(1+Допущения!$C$68)/1000</f>
        <v>0</v>
      </c>
      <c r="AZ16" s="101">
        <f>Инвестиции!$D48*AZ11/(1+Допущения!$C$68)/1000</f>
        <v>0</v>
      </c>
      <c r="BA16" s="101">
        <f>Инвестиции!$D48*BA11/(1+Допущения!$C$68)/1000</f>
        <v>0</v>
      </c>
      <c r="BB16" s="101">
        <f>Инвестиции!$D48*BB11/(1+Допущения!$C$68)/1000</f>
        <v>0</v>
      </c>
      <c r="BC16" s="101">
        <f>Инвестиции!$D48*BC11/(1+Допущения!$C$68)/1000</f>
        <v>0</v>
      </c>
      <c r="BD16" s="101">
        <f>Инвестиции!$D48*BD11/(1+Допущения!$C$68)/1000</f>
        <v>0</v>
      </c>
      <c r="BE16" s="101">
        <f>Инвестиции!$D48*BE11/(1+Допущения!$C$68)/1000</f>
        <v>0</v>
      </c>
      <c r="BF16" s="101">
        <f>Инвестиции!$D48*BF11/(1+Допущения!$C$68)/1000</f>
        <v>0</v>
      </c>
      <c r="BG16" s="101">
        <f>Инвестиции!$D48*BG11/(1+Допущения!$C$68)/1000</f>
        <v>0</v>
      </c>
      <c r="BH16" s="101">
        <f>Инвестиции!$D48*BH11/(1+Допущения!$C$68)/1000</f>
        <v>0</v>
      </c>
      <c r="BI16" s="101">
        <f>Инвестиции!$D48*BI11/(1+Допущения!$C$68)/1000</f>
        <v>0</v>
      </c>
      <c r="BJ16" s="168">
        <f>SUM(B16:BI16)</f>
        <v>4408.3333333333339</v>
      </c>
      <c r="BK16" s="43"/>
      <c r="BL16" s="43"/>
      <c r="BM16" s="43"/>
    </row>
    <row r="17" spans="1:62">
      <c r="A17" s="34" t="s">
        <v>11</v>
      </c>
      <c r="B17" s="24">
        <f t="shared" ref="B17:AG17" si="14">SUM(B14:B16)</f>
        <v>108068.07916666668</v>
      </c>
      <c r="C17" s="24">
        <f t="shared" si="14"/>
        <v>20340.8475</v>
      </c>
      <c r="D17" s="24">
        <f t="shared" si="14"/>
        <v>13560.565000000001</v>
      </c>
      <c r="E17" s="24">
        <f t="shared" si="14"/>
        <v>0</v>
      </c>
      <c r="F17" s="24">
        <f t="shared" si="14"/>
        <v>0</v>
      </c>
      <c r="G17" s="24">
        <f t="shared" si="14"/>
        <v>0</v>
      </c>
      <c r="H17" s="24">
        <f t="shared" si="14"/>
        <v>0</v>
      </c>
      <c r="I17" s="24">
        <f t="shared" si="14"/>
        <v>0</v>
      </c>
      <c r="J17" s="24">
        <f t="shared" si="14"/>
        <v>0</v>
      </c>
      <c r="K17" s="24">
        <f t="shared" si="14"/>
        <v>0</v>
      </c>
      <c r="L17" s="24">
        <f t="shared" si="14"/>
        <v>0</v>
      </c>
      <c r="M17" s="24">
        <f t="shared" si="14"/>
        <v>0</v>
      </c>
      <c r="N17" s="24">
        <f t="shared" si="14"/>
        <v>0</v>
      </c>
      <c r="O17" s="24">
        <f t="shared" si="14"/>
        <v>0</v>
      </c>
      <c r="P17" s="24">
        <f t="shared" si="14"/>
        <v>0</v>
      </c>
      <c r="Q17" s="24">
        <f t="shared" si="14"/>
        <v>0</v>
      </c>
      <c r="R17" s="24">
        <f t="shared" si="14"/>
        <v>0</v>
      </c>
      <c r="S17" s="24">
        <f t="shared" si="14"/>
        <v>0</v>
      </c>
      <c r="T17" s="24">
        <f t="shared" si="14"/>
        <v>0</v>
      </c>
      <c r="U17" s="24">
        <f t="shared" si="14"/>
        <v>0</v>
      </c>
      <c r="V17" s="24">
        <f t="shared" si="14"/>
        <v>0</v>
      </c>
      <c r="W17" s="24">
        <f t="shared" si="14"/>
        <v>0</v>
      </c>
      <c r="X17" s="24">
        <f t="shared" si="14"/>
        <v>0</v>
      </c>
      <c r="Y17" s="24">
        <f t="shared" si="14"/>
        <v>0</v>
      </c>
      <c r="Z17" s="24">
        <f t="shared" si="14"/>
        <v>0</v>
      </c>
      <c r="AA17" s="24">
        <f t="shared" si="14"/>
        <v>0</v>
      </c>
      <c r="AB17" s="24">
        <f t="shared" si="14"/>
        <v>0</v>
      </c>
      <c r="AC17" s="24">
        <f t="shared" si="14"/>
        <v>0</v>
      </c>
      <c r="AD17" s="24">
        <f t="shared" si="14"/>
        <v>0</v>
      </c>
      <c r="AE17" s="24">
        <f t="shared" si="14"/>
        <v>0</v>
      </c>
      <c r="AF17" s="24">
        <f t="shared" si="14"/>
        <v>0</v>
      </c>
      <c r="AG17" s="24">
        <f t="shared" si="14"/>
        <v>0</v>
      </c>
      <c r="AH17" s="24">
        <f t="shared" ref="AH17:BI17" si="15">SUM(AH14:AH16)</f>
        <v>0</v>
      </c>
      <c r="AI17" s="24">
        <f t="shared" si="15"/>
        <v>0</v>
      </c>
      <c r="AJ17" s="24">
        <f t="shared" si="15"/>
        <v>0</v>
      </c>
      <c r="AK17" s="24">
        <f t="shared" si="15"/>
        <v>0</v>
      </c>
      <c r="AL17" s="24">
        <f t="shared" si="15"/>
        <v>0</v>
      </c>
      <c r="AM17" s="24">
        <f t="shared" si="15"/>
        <v>0</v>
      </c>
      <c r="AN17" s="24">
        <f t="shared" si="15"/>
        <v>0</v>
      </c>
      <c r="AO17" s="24">
        <f t="shared" si="15"/>
        <v>0</v>
      </c>
      <c r="AP17" s="24">
        <f t="shared" si="15"/>
        <v>0</v>
      </c>
      <c r="AQ17" s="24">
        <f t="shared" si="15"/>
        <v>0</v>
      </c>
      <c r="AR17" s="24">
        <f t="shared" si="15"/>
        <v>0</v>
      </c>
      <c r="AS17" s="24">
        <f t="shared" si="15"/>
        <v>0</v>
      </c>
      <c r="AT17" s="24">
        <f t="shared" si="15"/>
        <v>0</v>
      </c>
      <c r="AU17" s="24">
        <f t="shared" si="15"/>
        <v>0</v>
      </c>
      <c r="AV17" s="24">
        <f t="shared" si="15"/>
        <v>0</v>
      </c>
      <c r="AW17" s="24">
        <f t="shared" si="15"/>
        <v>0</v>
      </c>
      <c r="AX17" s="24">
        <f t="shared" si="15"/>
        <v>0</v>
      </c>
      <c r="AY17" s="24">
        <f t="shared" si="15"/>
        <v>0</v>
      </c>
      <c r="AZ17" s="24">
        <f t="shared" si="15"/>
        <v>0</v>
      </c>
      <c r="BA17" s="24">
        <f t="shared" si="15"/>
        <v>0</v>
      </c>
      <c r="BB17" s="24">
        <f t="shared" si="15"/>
        <v>0</v>
      </c>
      <c r="BC17" s="24">
        <f t="shared" si="15"/>
        <v>0</v>
      </c>
      <c r="BD17" s="24">
        <f t="shared" si="15"/>
        <v>0</v>
      </c>
      <c r="BE17" s="24">
        <f t="shared" si="15"/>
        <v>0</v>
      </c>
      <c r="BF17" s="24">
        <f t="shared" si="15"/>
        <v>0</v>
      </c>
      <c r="BG17" s="24">
        <f t="shared" si="15"/>
        <v>0</v>
      </c>
      <c r="BH17" s="24">
        <f t="shared" si="15"/>
        <v>0</v>
      </c>
      <c r="BI17" s="24">
        <f t="shared" si="15"/>
        <v>0</v>
      </c>
      <c r="BJ17" s="24">
        <f>SUM(B17:BI17)</f>
        <v>141969.49166666667</v>
      </c>
    </row>
    <row r="20" spans="1:62">
      <c r="B20" s="6"/>
    </row>
    <row r="21" spans="1:62">
      <c r="B21" s="6"/>
    </row>
    <row r="22" spans="1:62">
      <c r="B22" s="6"/>
    </row>
  </sheetData>
  <pageMargins left="0.7" right="0.7" top="0.75" bottom="0.75" header="0.3" footer="0.3"/>
  <pageSetup paperSize="9" orientation="portrait" verticalDpi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P28"/>
  <sheetViews>
    <sheetView zoomScaleNormal="100" zoomScalePageLayoutView="150" workbookViewId="0">
      <pane xSplit="2" ySplit="5" topLeftCell="BF6" activePane="bottomRight" state="frozen"/>
      <selection pane="topRight" activeCell="C1" sqref="C1"/>
      <selection pane="bottomLeft" activeCell="A6" sqref="A6"/>
      <selection pane="bottomRight" activeCell="BL19" sqref="BL19:BQ22"/>
    </sheetView>
  </sheetViews>
  <sheetFormatPr defaultColWidth="8.5703125" defaultRowHeight="13.9"/>
  <cols>
    <col min="1" max="1" width="56.42578125" style="1" customWidth="1"/>
    <col min="2" max="2" width="8.140625" style="1" customWidth="1"/>
    <col min="3" max="62" width="11.5703125" style="1" customWidth="1"/>
    <col min="63" max="68" width="8.5703125" style="1"/>
    <col min="69" max="69" width="8.5703125" style="1" customWidth="1"/>
    <col min="70" max="16384" width="8.5703125" style="1"/>
  </cols>
  <sheetData>
    <row r="1" spans="1:120">
      <c r="A1" s="18" t="s">
        <v>6</v>
      </c>
      <c r="B1" s="18"/>
      <c r="C1" s="19">
        <f>IF(OR(MONTH(C3)=1,MONTH(C3)=2,MONTH(C3)=3),1,IF(OR(MONTH(C3)=4,MONTH(C3)=5,MONTH(C3)=6),2,IF(OR(MONTH(C3)=7,MONTH(C3)=8,MONTH(C3)=9),3,4)))</f>
        <v>3</v>
      </c>
      <c r="D1" s="19">
        <f>IF(OR(MONTH(D3)=1,MONTH(D3)=2,MONTH(D3)=3),1,IF(OR(MONTH(D3)=4,MONTH(D3)=5,MONTH(D3)=6),2,IF(OR(MONTH(D3)=7,MONTH(D3)=8,MONTH(D3)=9),3,4)))</f>
        <v>4</v>
      </c>
      <c r="E1" s="19">
        <f>IF(OR(MONTH(E3)=1,MONTH(E3)=2,MONTH(E3)=3),1,IF(OR(MONTH(E3)=4,MONTH(E3)=5,MONTH(E3)=6),2,IF(OR(MONTH(E3)=7,MONTH(E3)=8,MONTH(E3)=9),3,4)))</f>
        <v>4</v>
      </c>
      <c r="F1" s="19">
        <f t="shared" ref="F1:AL1" si="0">IF(OR(MONTH(F3)=1,MONTH(F3)=2,MONTH(F3)=3),1,IF(OR(MONTH(F3)=4,MONTH(F3)=5,MONTH(F3)=6),2,IF(OR(MONTH(F3)=7,MONTH(F3)=8,MONTH(F3)=9),3,4)))</f>
        <v>4</v>
      </c>
      <c r="G1" s="19">
        <f t="shared" si="0"/>
        <v>1</v>
      </c>
      <c r="H1" s="19">
        <f t="shared" si="0"/>
        <v>1</v>
      </c>
      <c r="I1" s="19">
        <f t="shared" si="0"/>
        <v>1</v>
      </c>
      <c r="J1" s="19">
        <f t="shared" si="0"/>
        <v>2</v>
      </c>
      <c r="K1" s="19">
        <f t="shared" si="0"/>
        <v>2</v>
      </c>
      <c r="L1" s="19">
        <f t="shared" si="0"/>
        <v>2</v>
      </c>
      <c r="M1" s="19">
        <f t="shared" si="0"/>
        <v>3</v>
      </c>
      <c r="N1" s="19">
        <f t="shared" si="0"/>
        <v>3</v>
      </c>
      <c r="O1" s="19">
        <f t="shared" si="0"/>
        <v>3</v>
      </c>
      <c r="P1" s="19">
        <f t="shared" si="0"/>
        <v>4</v>
      </c>
      <c r="Q1" s="19">
        <f t="shared" si="0"/>
        <v>4</v>
      </c>
      <c r="R1" s="19">
        <f t="shared" si="0"/>
        <v>4</v>
      </c>
      <c r="S1" s="19">
        <f t="shared" si="0"/>
        <v>1</v>
      </c>
      <c r="T1" s="19">
        <f t="shared" si="0"/>
        <v>1</v>
      </c>
      <c r="U1" s="19">
        <f t="shared" si="0"/>
        <v>1</v>
      </c>
      <c r="V1" s="19">
        <f t="shared" si="0"/>
        <v>2</v>
      </c>
      <c r="W1" s="19">
        <f t="shared" si="0"/>
        <v>2</v>
      </c>
      <c r="X1" s="19">
        <f t="shared" si="0"/>
        <v>2</v>
      </c>
      <c r="Y1" s="19">
        <f t="shared" si="0"/>
        <v>3</v>
      </c>
      <c r="Z1" s="19">
        <f t="shared" si="0"/>
        <v>3</v>
      </c>
      <c r="AA1" s="19">
        <f t="shared" si="0"/>
        <v>3</v>
      </c>
      <c r="AB1" s="19">
        <f t="shared" si="0"/>
        <v>4</v>
      </c>
      <c r="AC1" s="19">
        <f t="shared" si="0"/>
        <v>4</v>
      </c>
      <c r="AD1" s="19">
        <f t="shared" si="0"/>
        <v>4</v>
      </c>
      <c r="AE1" s="19">
        <f t="shared" si="0"/>
        <v>1</v>
      </c>
      <c r="AF1" s="19">
        <f t="shared" si="0"/>
        <v>1</v>
      </c>
      <c r="AG1" s="19">
        <f t="shared" si="0"/>
        <v>1</v>
      </c>
      <c r="AH1" s="19">
        <f t="shared" si="0"/>
        <v>2</v>
      </c>
      <c r="AI1" s="19">
        <f t="shared" si="0"/>
        <v>2</v>
      </c>
      <c r="AJ1" s="19">
        <f t="shared" si="0"/>
        <v>2</v>
      </c>
      <c r="AK1" s="19">
        <f t="shared" si="0"/>
        <v>3</v>
      </c>
      <c r="AL1" s="19">
        <f t="shared" si="0"/>
        <v>3</v>
      </c>
      <c r="AM1" s="19">
        <f t="shared" ref="AM1:BI1" si="1">IF(OR(MONTH(AM3)=1,MONTH(AM3)=2,MONTH(AM3)=3),1,IF(OR(MONTH(AM3)=4,MONTH(AM3)=5,MONTH(AM3)=6),2,IF(OR(MONTH(AM3)=7,MONTH(AM3)=8,MONTH(AM3)=9),3,4)))</f>
        <v>3</v>
      </c>
      <c r="AN1" s="19">
        <f t="shared" si="1"/>
        <v>4</v>
      </c>
      <c r="AO1" s="19">
        <f t="shared" si="1"/>
        <v>4</v>
      </c>
      <c r="AP1" s="19">
        <f t="shared" si="1"/>
        <v>4</v>
      </c>
      <c r="AQ1" s="19">
        <f t="shared" si="1"/>
        <v>1</v>
      </c>
      <c r="AR1" s="19">
        <f t="shared" si="1"/>
        <v>1</v>
      </c>
      <c r="AS1" s="19">
        <f t="shared" si="1"/>
        <v>1</v>
      </c>
      <c r="AT1" s="19">
        <f t="shared" si="1"/>
        <v>2</v>
      </c>
      <c r="AU1" s="19">
        <f t="shared" si="1"/>
        <v>2</v>
      </c>
      <c r="AV1" s="19">
        <f t="shared" si="1"/>
        <v>2</v>
      </c>
      <c r="AW1" s="19">
        <f t="shared" si="1"/>
        <v>3</v>
      </c>
      <c r="AX1" s="19">
        <f t="shared" si="1"/>
        <v>3</v>
      </c>
      <c r="AY1" s="19">
        <f t="shared" si="1"/>
        <v>3</v>
      </c>
      <c r="AZ1" s="19">
        <f t="shared" si="1"/>
        <v>4</v>
      </c>
      <c r="BA1" s="19">
        <f t="shared" si="1"/>
        <v>4</v>
      </c>
      <c r="BB1" s="19">
        <f t="shared" si="1"/>
        <v>4</v>
      </c>
      <c r="BC1" s="19">
        <f t="shared" si="1"/>
        <v>1</v>
      </c>
      <c r="BD1" s="19">
        <f t="shared" si="1"/>
        <v>1</v>
      </c>
      <c r="BE1" s="19">
        <f t="shared" si="1"/>
        <v>1</v>
      </c>
      <c r="BF1" s="19">
        <f t="shared" si="1"/>
        <v>2</v>
      </c>
      <c r="BG1" s="19">
        <f t="shared" si="1"/>
        <v>2</v>
      </c>
      <c r="BH1" s="19">
        <f t="shared" si="1"/>
        <v>2</v>
      </c>
      <c r="BI1" s="19">
        <f t="shared" si="1"/>
        <v>3</v>
      </c>
      <c r="BJ1" s="19">
        <f t="shared" ref="BJ1" si="2">IF(OR(MONTH(BJ3)=1,MONTH(BJ3)=2,MONTH(BJ3)=3),1,IF(OR(MONTH(BJ3)=4,MONTH(BJ3)=5,MONTH(BJ3)=6),2,IF(OR(MONTH(BJ3)=7,MONTH(BJ3)=8,MONTH(BJ3)=9),3,4)))</f>
        <v>3</v>
      </c>
    </row>
    <row r="2" spans="1:120">
      <c r="A2" s="18" t="s">
        <v>7</v>
      </c>
      <c r="B2" s="18"/>
      <c r="C2" s="19">
        <f>YEAR(C3)</f>
        <v>2025</v>
      </c>
      <c r="D2" s="19">
        <f>YEAR(D3)</f>
        <v>2025</v>
      </c>
      <c r="E2" s="19">
        <f t="shared" ref="E2:BJ2" si="3">YEAR(E3)</f>
        <v>2025</v>
      </c>
      <c r="F2" s="19">
        <f t="shared" si="3"/>
        <v>2025</v>
      </c>
      <c r="G2" s="19">
        <f t="shared" si="3"/>
        <v>2026</v>
      </c>
      <c r="H2" s="19">
        <f t="shared" si="3"/>
        <v>2026</v>
      </c>
      <c r="I2" s="19">
        <f t="shared" si="3"/>
        <v>2026</v>
      </c>
      <c r="J2" s="19">
        <f t="shared" si="3"/>
        <v>2026</v>
      </c>
      <c r="K2" s="19">
        <f t="shared" si="3"/>
        <v>2026</v>
      </c>
      <c r="L2" s="19">
        <f t="shared" si="3"/>
        <v>2026</v>
      </c>
      <c r="M2" s="19">
        <f t="shared" si="3"/>
        <v>2026</v>
      </c>
      <c r="N2" s="19">
        <f t="shared" si="3"/>
        <v>2026</v>
      </c>
      <c r="O2" s="19">
        <f t="shared" si="3"/>
        <v>2026</v>
      </c>
      <c r="P2" s="19">
        <f t="shared" si="3"/>
        <v>2026</v>
      </c>
      <c r="Q2" s="19">
        <f t="shared" si="3"/>
        <v>2026</v>
      </c>
      <c r="R2" s="19">
        <f t="shared" si="3"/>
        <v>2026</v>
      </c>
      <c r="S2" s="19">
        <f t="shared" si="3"/>
        <v>2027</v>
      </c>
      <c r="T2" s="19">
        <f t="shared" si="3"/>
        <v>2027</v>
      </c>
      <c r="U2" s="19">
        <f t="shared" si="3"/>
        <v>2027</v>
      </c>
      <c r="V2" s="19">
        <f t="shared" si="3"/>
        <v>2027</v>
      </c>
      <c r="W2" s="19">
        <f t="shared" si="3"/>
        <v>2027</v>
      </c>
      <c r="X2" s="19">
        <f t="shared" si="3"/>
        <v>2027</v>
      </c>
      <c r="Y2" s="19">
        <f t="shared" si="3"/>
        <v>2027</v>
      </c>
      <c r="Z2" s="19">
        <f t="shared" si="3"/>
        <v>2027</v>
      </c>
      <c r="AA2" s="19">
        <f t="shared" si="3"/>
        <v>2027</v>
      </c>
      <c r="AB2" s="19">
        <f t="shared" si="3"/>
        <v>2027</v>
      </c>
      <c r="AC2" s="19">
        <f t="shared" si="3"/>
        <v>2027</v>
      </c>
      <c r="AD2" s="19">
        <f t="shared" si="3"/>
        <v>2027</v>
      </c>
      <c r="AE2" s="19">
        <f t="shared" si="3"/>
        <v>2028</v>
      </c>
      <c r="AF2" s="19">
        <f t="shared" si="3"/>
        <v>2028</v>
      </c>
      <c r="AG2" s="19">
        <f t="shared" si="3"/>
        <v>2028</v>
      </c>
      <c r="AH2" s="19">
        <f t="shared" si="3"/>
        <v>2028</v>
      </c>
      <c r="AI2" s="19">
        <f t="shared" si="3"/>
        <v>2028</v>
      </c>
      <c r="AJ2" s="19">
        <f t="shared" si="3"/>
        <v>2028</v>
      </c>
      <c r="AK2" s="19">
        <f t="shared" si="3"/>
        <v>2028</v>
      </c>
      <c r="AL2" s="19">
        <f t="shared" si="3"/>
        <v>2028</v>
      </c>
      <c r="AM2" s="19">
        <f t="shared" si="3"/>
        <v>2028</v>
      </c>
      <c r="AN2" s="19">
        <f t="shared" si="3"/>
        <v>2028</v>
      </c>
      <c r="AO2" s="19">
        <f t="shared" si="3"/>
        <v>2028</v>
      </c>
      <c r="AP2" s="19">
        <f t="shared" si="3"/>
        <v>2028</v>
      </c>
      <c r="AQ2" s="19">
        <f t="shared" si="3"/>
        <v>2029</v>
      </c>
      <c r="AR2" s="19">
        <f t="shared" si="3"/>
        <v>2029</v>
      </c>
      <c r="AS2" s="19">
        <f t="shared" si="3"/>
        <v>2029</v>
      </c>
      <c r="AT2" s="19">
        <f t="shared" si="3"/>
        <v>2029</v>
      </c>
      <c r="AU2" s="19">
        <f t="shared" si="3"/>
        <v>2029</v>
      </c>
      <c r="AV2" s="19">
        <f t="shared" si="3"/>
        <v>2029</v>
      </c>
      <c r="AW2" s="19">
        <f t="shared" si="3"/>
        <v>2029</v>
      </c>
      <c r="AX2" s="19">
        <f t="shared" si="3"/>
        <v>2029</v>
      </c>
      <c r="AY2" s="19">
        <f t="shared" si="3"/>
        <v>2029</v>
      </c>
      <c r="AZ2" s="19">
        <f t="shared" si="3"/>
        <v>2029</v>
      </c>
      <c r="BA2" s="19">
        <f t="shared" si="3"/>
        <v>2029</v>
      </c>
      <c r="BB2" s="19">
        <f t="shared" si="3"/>
        <v>2029</v>
      </c>
      <c r="BC2" s="19">
        <f t="shared" si="3"/>
        <v>2030</v>
      </c>
      <c r="BD2" s="19">
        <f t="shared" si="3"/>
        <v>2030</v>
      </c>
      <c r="BE2" s="19">
        <f t="shared" si="3"/>
        <v>2030</v>
      </c>
      <c r="BF2" s="19">
        <f t="shared" si="3"/>
        <v>2030</v>
      </c>
      <c r="BG2" s="19">
        <f t="shared" si="3"/>
        <v>2030</v>
      </c>
      <c r="BH2" s="19">
        <f t="shared" si="3"/>
        <v>2030</v>
      </c>
      <c r="BI2" s="19">
        <f t="shared" si="3"/>
        <v>2030</v>
      </c>
      <c r="BJ2" s="19">
        <f t="shared" si="3"/>
        <v>2030</v>
      </c>
      <c r="BL2" s="19">
        <f>YEAR(Допущения!C4)</f>
        <v>2025</v>
      </c>
      <c r="BM2" s="19">
        <f t="shared" ref="BM2" si="4">BL2+1</f>
        <v>2026</v>
      </c>
      <c r="BN2" s="19">
        <f t="shared" ref="BN2" si="5">BM2+1</f>
        <v>2027</v>
      </c>
      <c r="BO2" s="19">
        <f t="shared" ref="BO2" si="6">BN2+1</f>
        <v>2028</v>
      </c>
      <c r="BP2" s="19">
        <f t="shared" ref="BP2" si="7">BO2+1</f>
        <v>2029</v>
      </c>
      <c r="BQ2" s="19">
        <f t="shared" ref="BQ2" si="8">BP2+1</f>
        <v>2030</v>
      </c>
    </row>
    <row r="3" spans="1:120">
      <c r="A3" s="18" t="s">
        <v>8</v>
      </c>
      <c r="B3" s="18"/>
      <c r="C3" s="20">
        <f>Допущения!C4</f>
        <v>45901</v>
      </c>
      <c r="D3" s="20">
        <f t="shared" ref="D3:AL3" si="9">DATE(YEAR(C3),MONTH(C3)+1,1)</f>
        <v>45931</v>
      </c>
      <c r="E3" s="20">
        <f t="shared" si="9"/>
        <v>45962</v>
      </c>
      <c r="F3" s="20">
        <f t="shared" si="9"/>
        <v>45992</v>
      </c>
      <c r="G3" s="20">
        <f t="shared" si="9"/>
        <v>46023</v>
      </c>
      <c r="H3" s="20">
        <f t="shared" si="9"/>
        <v>46054</v>
      </c>
      <c r="I3" s="20">
        <f t="shared" si="9"/>
        <v>46082</v>
      </c>
      <c r="J3" s="20">
        <f t="shared" si="9"/>
        <v>46113</v>
      </c>
      <c r="K3" s="20">
        <f t="shared" si="9"/>
        <v>46143</v>
      </c>
      <c r="L3" s="20">
        <f t="shared" si="9"/>
        <v>46174</v>
      </c>
      <c r="M3" s="20">
        <f t="shared" si="9"/>
        <v>46204</v>
      </c>
      <c r="N3" s="20">
        <f t="shared" si="9"/>
        <v>46235</v>
      </c>
      <c r="O3" s="20">
        <f t="shared" si="9"/>
        <v>46266</v>
      </c>
      <c r="P3" s="20">
        <f t="shared" si="9"/>
        <v>46296</v>
      </c>
      <c r="Q3" s="20">
        <f t="shared" si="9"/>
        <v>46327</v>
      </c>
      <c r="R3" s="20">
        <f t="shared" si="9"/>
        <v>46357</v>
      </c>
      <c r="S3" s="20">
        <f t="shared" si="9"/>
        <v>46388</v>
      </c>
      <c r="T3" s="20">
        <f t="shared" si="9"/>
        <v>46419</v>
      </c>
      <c r="U3" s="20">
        <f t="shared" si="9"/>
        <v>46447</v>
      </c>
      <c r="V3" s="20">
        <f t="shared" si="9"/>
        <v>46478</v>
      </c>
      <c r="W3" s="20">
        <f t="shared" si="9"/>
        <v>46508</v>
      </c>
      <c r="X3" s="20">
        <f t="shared" si="9"/>
        <v>46539</v>
      </c>
      <c r="Y3" s="20">
        <f t="shared" si="9"/>
        <v>46569</v>
      </c>
      <c r="Z3" s="20">
        <f t="shared" si="9"/>
        <v>46600</v>
      </c>
      <c r="AA3" s="20">
        <f t="shared" si="9"/>
        <v>46631</v>
      </c>
      <c r="AB3" s="20">
        <f t="shared" si="9"/>
        <v>46661</v>
      </c>
      <c r="AC3" s="20">
        <f t="shared" si="9"/>
        <v>46692</v>
      </c>
      <c r="AD3" s="20">
        <f t="shared" si="9"/>
        <v>46722</v>
      </c>
      <c r="AE3" s="20">
        <f t="shared" si="9"/>
        <v>46753</v>
      </c>
      <c r="AF3" s="20">
        <f t="shared" si="9"/>
        <v>46784</v>
      </c>
      <c r="AG3" s="20">
        <f t="shared" si="9"/>
        <v>46813</v>
      </c>
      <c r="AH3" s="20">
        <f t="shared" si="9"/>
        <v>46844</v>
      </c>
      <c r="AI3" s="20">
        <f t="shared" si="9"/>
        <v>46874</v>
      </c>
      <c r="AJ3" s="20">
        <f t="shared" si="9"/>
        <v>46905</v>
      </c>
      <c r="AK3" s="20">
        <f t="shared" si="9"/>
        <v>46935</v>
      </c>
      <c r="AL3" s="20">
        <f t="shared" si="9"/>
        <v>46966</v>
      </c>
      <c r="AM3" s="20">
        <f t="shared" ref="AM3:BI3" si="10">DATE(YEAR(AL3),MONTH(AL3)+1,1)</f>
        <v>46997</v>
      </c>
      <c r="AN3" s="20">
        <f t="shared" si="10"/>
        <v>47027</v>
      </c>
      <c r="AO3" s="20">
        <f t="shared" si="10"/>
        <v>47058</v>
      </c>
      <c r="AP3" s="20">
        <f t="shared" si="10"/>
        <v>47088</v>
      </c>
      <c r="AQ3" s="20">
        <f t="shared" si="10"/>
        <v>47119</v>
      </c>
      <c r="AR3" s="20">
        <f t="shared" si="10"/>
        <v>47150</v>
      </c>
      <c r="AS3" s="20">
        <f t="shared" si="10"/>
        <v>47178</v>
      </c>
      <c r="AT3" s="20">
        <f t="shared" si="10"/>
        <v>47209</v>
      </c>
      <c r="AU3" s="20">
        <f t="shared" si="10"/>
        <v>47239</v>
      </c>
      <c r="AV3" s="20">
        <f t="shared" si="10"/>
        <v>47270</v>
      </c>
      <c r="AW3" s="20">
        <f t="shared" si="10"/>
        <v>47300</v>
      </c>
      <c r="AX3" s="20">
        <f t="shared" si="10"/>
        <v>47331</v>
      </c>
      <c r="AY3" s="20">
        <f t="shared" si="10"/>
        <v>47362</v>
      </c>
      <c r="AZ3" s="20">
        <f t="shared" si="10"/>
        <v>47392</v>
      </c>
      <c r="BA3" s="20">
        <f t="shared" si="10"/>
        <v>47423</v>
      </c>
      <c r="BB3" s="20">
        <f t="shared" si="10"/>
        <v>47453</v>
      </c>
      <c r="BC3" s="20">
        <f t="shared" si="10"/>
        <v>47484</v>
      </c>
      <c r="BD3" s="20">
        <f t="shared" si="10"/>
        <v>47515</v>
      </c>
      <c r="BE3" s="20">
        <f t="shared" si="10"/>
        <v>47543</v>
      </c>
      <c r="BF3" s="20">
        <f t="shared" si="10"/>
        <v>47574</v>
      </c>
      <c r="BG3" s="20">
        <f t="shared" si="10"/>
        <v>47604</v>
      </c>
      <c r="BH3" s="20">
        <f t="shared" si="10"/>
        <v>47635</v>
      </c>
      <c r="BI3" s="20">
        <f t="shared" si="10"/>
        <v>47665</v>
      </c>
      <c r="BJ3" s="20">
        <f t="shared" ref="BJ3:BK3" si="11">DATE(YEAR(BI3),MONTH(BI3)+1,1)</f>
        <v>47696</v>
      </c>
      <c r="BK3" s="9">
        <f t="shared" si="11"/>
        <v>47727</v>
      </c>
    </row>
    <row r="4" spans="1:120">
      <c r="A4" s="18" t="s">
        <v>10</v>
      </c>
      <c r="B4" s="18"/>
      <c r="C4" s="19">
        <f>D3-C3</f>
        <v>30</v>
      </c>
      <c r="D4" s="19">
        <f>E3-D3</f>
        <v>31</v>
      </c>
      <c r="E4" s="19">
        <f t="shared" ref="E4:AL4" si="12">F3-E3</f>
        <v>30</v>
      </c>
      <c r="F4" s="19">
        <f t="shared" si="12"/>
        <v>31</v>
      </c>
      <c r="G4" s="19">
        <f t="shared" si="12"/>
        <v>31</v>
      </c>
      <c r="H4" s="19">
        <f t="shared" si="12"/>
        <v>28</v>
      </c>
      <c r="I4" s="19">
        <f t="shared" si="12"/>
        <v>31</v>
      </c>
      <c r="J4" s="19">
        <f t="shared" si="12"/>
        <v>30</v>
      </c>
      <c r="K4" s="19">
        <f t="shared" si="12"/>
        <v>31</v>
      </c>
      <c r="L4" s="19">
        <f t="shared" si="12"/>
        <v>30</v>
      </c>
      <c r="M4" s="19">
        <f t="shared" si="12"/>
        <v>31</v>
      </c>
      <c r="N4" s="19">
        <f t="shared" si="12"/>
        <v>31</v>
      </c>
      <c r="O4" s="19">
        <f t="shared" si="12"/>
        <v>30</v>
      </c>
      <c r="P4" s="19">
        <f t="shared" si="12"/>
        <v>31</v>
      </c>
      <c r="Q4" s="19">
        <f t="shared" si="12"/>
        <v>30</v>
      </c>
      <c r="R4" s="19">
        <f t="shared" si="12"/>
        <v>31</v>
      </c>
      <c r="S4" s="19">
        <f t="shared" si="12"/>
        <v>31</v>
      </c>
      <c r="T4" s="19">
        <f t="shared" si="12"/>
        <v>28</v>
      </c>
      <c r="U4" s="19">
        <f t="shared" si="12"/>
        <v>31</v>
      </c>
      <c r="V4" s="19">
        <f t="shared" si="12"/>
        <v>30</v>
      </c>
      <c r="W4" s="19">
        <f t="shared" si="12"/>
        <v>31</v>
      </c>
      <c r="X4" s="19">
        <f t="shared" si="12"/>
        <v>30</v>
      </c>
      <c r="Y4" s="19">
        <f t="shared" si="12"/>
        <v>31</v>
      </c>
      <c r="Z4" s="19">
        <f t="shared" si="12"/>
        <v>31</v>
      </c>
      <c r="AA4" s="19">
        <f t="shared" si="12"/>
        <v>30</v>
      </c>
      <c r="AB4" s="19">
        <f t="shared" si="12"/>
        <v>31</v>
      </c>
      <c r="AC4" s="19">
        <f t="shared" si="12"/>
        <v>30</v>
      </c>
      <c r="AD4" s="19">
        <f t="shared" si="12"/>
        <v>31</v>
      </c>
      <c r="AE4" s="19">
        <f t="shared" si="12"/>
        <v>31</v>
      </c>
      <c r="AF4" s="19">
        <f t="shared" si="12"/>
        <v>29</v>
      </c>
      <c r="AG4" s="19">
        <f t="shared" si="12"/>
        <v>31</v>
      </c>
      <c r="AH4" s="19">
        <f t="shared" si="12"/>
        <v>30</v>
      </c>
      <c r="AI4" s="19">
        <f t="shared" si="12"/>
        <v>31</v>
      </c>
      <c r="AJ4" s="19">
        <f t="shared" si="12"/>
        <v>30</v>
      </c>
      <c r="AK4" s="19">
        <f t="shared" si="12"/>
        <v>31</v>
      </c>
      <c r="AL4" s="19">
        <f t="shared" si="12"/>
        <v>31</v>
      </c>
      <c r="AM4" s="19">
        <f t="shared" ref="AM4:BH4" si="13">AN3-AM3</f>
        <v>30</v>
      </c>
      <c r="AN4" s="19">
        <f t="shared" si="13"/>
        <v>31</v>
      </c>
      <c r="AO4" s="19">
        <f t="shared" si="13"/>
        <v>30</v>
      </c>
      <c r="AP4" s="19">
        <f t="shared" si="13"/>
        <v>31</v>
      </c>
      <c r="AQ4" s="19">
        <f t="shared" si="13"/>
        <v>31</v>
      </c>
      <c r="AR4" s="19">
        <f t="shared" si="13"/>
        <v>28</v>
      </c>
      <c r="AS4" s="19">
        <f t="shared" si="13"/>
        <v>31</v>
      </c>
      <c r="AT4" s="19">
        <f t="shared" si="13"/>
        <v>30</v>
      </c>
      <c r="AU4" s="19">
        <f t="shared" si="13"/>
        <v>31</v>
      </c>
      <c r="AV4" s="19">
        <f t="shared" si="13"/>
        <v>30</v>
      </c>
      <c r="AW4" s="19">
        <f t="shared" si="13"/>
        <v>31</v>
      </c>
      <c r="AX4" s="19">
        <f t="shared" si="13"/>
        <v>31</v>
      </c>
      <c r="AY4" s="19">
        <f t="shared" si="13"/>
        <v>30</v>
      </c>
      <c r="AZ4" s="19">
        <f t="shared" si="13"/>
        <v>31</v>
      </c>
      <c r="BA4" s="19">
        <f t="shared" si="13"/>
        <v>30</v>
      </c>
      <c r="BB4" s="19">
        <f t="shared" si="13"/>
        <v>31</v>
      </c>
      <c r="BC4" s="19">
        <f t="shared" si="13"/>
        <v>31</v>
      </c>
      <c r="BD4" s="19">
        <f t="shared" si="13"/>
        <v>28</v>
      </c>
      <c r="BE4" s="19">
        <f t="shared" si="13"/>
        <v>31</v>
      </c>
      <c r="BF4" s="19">
        <f t="shared" si="13"/>
        <v>30</v>
      </c>
      <c r="BG4" s="19">
        <f t="shared" si="13"/>
        <v>31</v>
      </c>
      <c r="BH4" s="19">
        <f t="shared" si="13"/>
        <v>30</v>
      </c>
      <c r="BI4" s="19">
        <f t="shared" ref="BI4:BJ4" si="14">BJ3-BI3</f>
        <v>31</v>
      </c>
      <c r="BJ4" s="19">
        <f t="shared" si="14"/>
        <v>31</v>
      </c>
    </row>
    <row r="5" spans="1:120">
      <c r="A5" s="18" t="s">
        <v>9</v>
      </c>
      <c r="B5" s="18"/>
      <c r="C5" s="19">
        <v>1</v>
      </c>
      <c r="D5" s="19">
        <f>C5+1</f>
        <v>2</v>
      </c>
      <c r="E5" s="19">
        <f t="shared" ref="E5:AL5" si="15">D5+1</f>
        <v>3</v>
      </c>
      <c r="F5" s="19">
        <f t="shared" si="15"/>
        <v>4</v>
      </c>
      <c r="G5" s="19">
        <f t="shared" si="15"/>
        <v>5</v>
      </c>
      <c r="H5" s="19">
        <f t="shared" si="15"/>
        <v>6</v>
      </c>
      <c r="I5" s="19">
        <f t="shared" si="15"/>
        <v>7</v>
      </c>
      <c r="J5" s="19">
        <f t="shared" si="15"/>
        <v>8</v>
      </c>
      <c r="K5" s="19">
        <f t="shared" si="15"/>
        <v>9</v>
      </c>
      <c r="L5" s="19">
        <f t="shared" si="15"/>
        <v>10</v>
      </c>
      <c r="M5" s="19">
        <f t="shared" si="15"/>
        <v>11</v>
      </c>
      <c r="N5" s="19">
        <f t="shared" si="15"/>
        <v>12</v>
      </c>
      <c r="O5" s="19">
        <f t="shared" si="15"/>
        <v>13</v>
      </c>
      <c r="P5" s="19">
        <f t="shared" si="15"/>
        <v>14</v>
      </c>
      <c r="Q5" s="19">
        <f t="shared" si="15"/>
        <v>15</v>
      </c>
      <c r="R5" s="19">
        <f t="shared" si="15"/>
        <v>16</v>
      </c>
      <c r="S5" s="19">
        <f t="shared" si="15"/>
        <v>17</v>
      </c>
      <c r="T5" s="19">
        <f t="shared" si="15"/>
        <v>18</v>
      </c>
      <c r="U5" s="19">
        <f t="shared" si="15"/>
        <v>19</v>
      </c>
      <c r="V5" s="19">
        <f t="shared" si="15"/>
        <v>20</v>
      </c>
      <c r="W5" s="19">
        <f t="shared" si="15"/>
        <v>21</v>
      </c>
      <c r="X5" s="19">
        <f t="shared" si="15"/>
        <v>22</v>
      </c>
      <c r="Y5" s="19">
        <f t="shared" si="15"/>
        <v>23</v>
      </c>
      <c r="Z5" s="19">
        <f t="shared" si="15"/>
        <v>24</v>
      </c>
      <c r="AA5" s="19">
        <f t="shared" si="15"/>
        <v>25</v>
      </c>
      <c r="AB5" s="19">
        <f t="shared" si="15"/>
        <v>26</v>
      </c>
      <c r="AC5" s="19">
        <f t="shared" si="15"/>
        <v>27</v>
      </c>
      <c r="AD5" s="19">
        <f t="shared" si="15"/>
        <v>28</v>
      </c>
      <c r="AE5" s="19">
        <f t="shared" si="15"/>
        <v>29</v>
      </c>
      <c r="AF5" s="19">
        <f t="shared" si="15"/>
        <v>30</v>
      </c>
      <c r="AG5" s="19">
        <f t="shared" si="15"/>
        <v>31</v>
      </c>
      <c r="AH5" s="19">
        <f t="shared" si="15"/>
        <v>32</v>
      </c>
      <c r="AI5" s="19">
        <f t="shared" si="15"/>
        <v>33</v>
      </c>
      <c r="AJ5" s="19">
        <f>AI5+1</f>
        <v>34</v>
      </c>
      <c r="AK5" s="19">
        <f t="shared" si="15"/>
        <v>35</v>
      </c>
      <c r="AL5" s="19">
        <f t="shared" si="15"/>
        <v>36</v>
      </c>
      <c r="AM5" s="19">
        <f t="shared" ref="AM5:BI5" si="16">AL5+1</f>
        <v>37</v>
      </c>
      <c r="AN5" s="19">
        <f t="shared" si="16"/>
        <v>38</v>
      </c>
      <c r="AO5" s="19">
        <f t="shared" si="16"/>
        <v>39</v>
      </c>
      <c r="AP5" s="19">
        <f t="shared" si="16"/>
        <v>40</v>
      </c>
      <c r="AQ5" s="19">
        <f t="shared" si="16"/>
        <v>41</v>
      </c>
      <c r="AR5" s="19">
        <f t="shared" si="16"/>
        <v>42</v>
      </c>
      <c r="AS5" s="19">
        <f t="shared" si="16"/>
        <v>43</v>
      </c>
      <c r="AT5" s="19">
        <f t="shared" si="16"/>
        <v>44</v>
      </c>
      <c r="AU5" s="19">
        <f t="shared" si="16"/>
        <v>45</v>
      </c>
      <c r="AV5" s="19">
        <f t="shared" si="16"/>
        <v>46</v>
      </c>
      <c r="AW5" s="19">
        <f t="shared" si="16"/>
        <v>47</v>
      </c>
      <c r="AX5" s="19">
        <f t="shared" si="16"/>
        <v>48</v>
      </c>
      <c r="AY5" s="19">
        <f t="shared" si="16"/>
        <v>49</v>
      </c>
      <c r="AZ5" s="19">
        <f t="shared" si="16"/>
        <v>50</v>
      </c>
      <c r="BA5" s="19">
        <f t="shared" si="16"/>
        <v>51</v>
      </c>
      <c r="BB5" s="19">
        <f t="shared" si="16"/>
        <v>52</v>
      </c>
      <c r="BC5" s="19">
        <f t="shared" si="16"/>
        <v>53</v>
      </c>
      <c r="BD5" s="19">
        <f t="shared" si="16"/>
        <v>54</v>
      </c>
      <c r="BE5" s="19">
        <f t="shared" si="16"/>
        <v>55</v>
      </c>
      <c r="BF5" s="19">
        <f t="shared" si="16"/>
        <v>56</v>
      </c>
      <c r="BG5" s="19">
        <f t="shared" si="16"/>
        <v>57</v>
      </c>
      <c r="BH5" s="19">
        <f t="shared" si="16"/>
        <v>58</v>
      </c>
      <c r="BI5" s="19">
        <f t="shared" si="16"/>
        <v>59</v>
      </c>
      <c r="BJ5" s="19">
        <f t="shared" ref="BJ5" si="17">BI5+1</f>
        <v>60</v>
      </c>
    </row>
    <row r="6" spans="1:120">
      <c r="BL6" s="4"/>
      <c r="BN6" s="4"/>
      <c r="BR6" s="4"/>
      <c r="BT6" s="4"/>
      <c r="BV6" s="4"/>
      <c r="BX6" s="4"/>
      <c r="BZ6" s="4"/>
      <c r="CB6" s="4"/>
      <c r="CD6" s="4"/>
      <c r="CF6" s="4"/>
      <c r="CH6" s="4"/>
      <c r="CJ6" s="4"/>
      <c r="CL6" s="4"/>
      <c r="CN6" s="4"/>
      <c r="CP6" s="4"/>
      <c r="CR6" s="4"/>
      <c r="CT6" s="4"/>
      <c r="CV6" s="4"/>
      <c r="CX6" s="4"/>
      <c r="CZ6" s="4"/>
      <c r="DB6" s="4"/>
      <c r="DD6" s="4"/>
      <c r="DF6" s="4"/>
      <c r="DH6" s="4"/>
      <c r="DJ6" s="4"/>
      <c r="DL6" s="4"/>
      <c r="DN6" s="4"/>
      <c r="DP6" s="4"/>
    </row>
    <row r="7" spans="1:120">
      <c r="A7" s="18" t="s">
        <v>94</v>
      </c>
      <c r="B7" s="18"/>
      <c r="C7" s="3"/>
    </row>
    <row r="8" spans="1:120">
      <c r="A8" s="100" t="str">
        <f>Инвестиции!A2</f>
        <v>Здания и сооружения</v>
      </c>
      <c r="B8" s="33">
        <v>360</v>
      </c>
    </row>
    <row r="9" spans="1:120">
      <c r="A9" s="100" t="str">
        <f>Инвестиции!A13</f>
        <v>Оборудование и инвентарь</v>
      </c>
      <c r="B9" s="33">
        <v>120</v>
      </c>
    </row>
    <row r="10" spans="1:120">
      <c r="A10" s="100" t="str">
        <f>Инвестиции!A33</f>
        <v>Прочие подготовительные расходы</v>
      </c>
      <c r="B10" s="33">
        <v>120</v>
      </c>
    </row>
    <row r="11" spans="1:120">
      <c r="A11" s="40"/>
    </row>
    <row r="12" spans="1:120">
      <c r="A12" s="18" t="s">
        <v>264</v>
      </c>
      <c r="B12" s="18"/>
    </row>
    <row r="13" spans="1:120">
      <c r="A13" s="100" t="str">
        <f>A8</f>
        <v>Здания и сооружения</v>
      </c>
      <c r="B13" s="44"/>
      <c r="C13" s="97">
        <f>IF(C$3&gt;=Допущения!$E$4,SUM(Капвложения!$B14:B14),0)</f>
        <v>0</v>
      </c>
      <c r="D13" s="97">
        <f>IF(D$3&gt;=Допущения!$E$4,SUM(Капвложения!$B14:C14),0)</f>
        <v>0</v>
      </c>
      <c r="E13" s="97">
        <f>IF(E$3&gt;=Допущения!$E$4,SUM(Капвложения!$B14:D14),0)</f>
        <v>0</v>
      </c>
      <c r="F13" s="97">
        <f>IF(F$3&gt;=Допущения!$E$4,SUM(Капвложения!$B14:E14),0)</f>
        <v>74166.666666666672</v>
      </c>
      <c r="G13" s="97">
        <f>IF(G$3&gt;=Допущения!$E$4,SUM(Капвложения!$B14:F14),0)</f>
        <v>74166.666666666672</v>
      </c>
      <c r="H13" s="97">
        <f>IF(H$3&gt;=Допущения!$E$4,SUM(Капвложения!$B14:G14),0)</f>
        <v>74166.666666666672</v>
      </c>
      <c r="I13" s="97">
        <f>IF(I$3&gt;=Допущения!$E$4,SUM(Капвложения!$B14:H14),0)</f>
        <v>74166.666666666672</v>
      </c>
      <c r="J13" s="97">
        <f>IF(J$3&gt;=Допущения!$E$4,SUM(Капвложения!$B14:I14),0)</f>
        <v>74166.666666666672</v>
      </c>
      <c r="K13" s="97">
        <f>IF(K$3&gt;=Допущения!$E$4,SUM(Капвложения!$B14:J14),0)</f>
        <v>74166.666666666672</v>
      </c>
      <c r="L13" s="97">
        <f>IF(L$3&gt;=Допущения!$E$4,SUM(Капвложения!$B14:K14),0)</f>
        <v>74166.666666666672</v>
      </c>
      <c r="M13" s="97">
        <f>IF(M$3&gt;=Допущения!$E$4,SUM(Капвложения!$B14:L14),0)</f>
        <v>74166.666666666672</v>
      </c>
      <c r="N13" s="97">
        <f>IF(N$3&gt;=Допущения!$E$4,SUM(Капвложения!$B14:M14),0)</f>
        <v>74166.666666666672</v>
      </c>
      <c r="O13" s="97">
        <f>IF(O$3&gt;=Допущения!$E$4,SUM(Капвложения!$B14:N14),0)</f>
        <v>74166.666666666672</v>
      </c>
      <c r="P13" s="97">
        <f>IF(P$3&gt;=Допущения!$E$4,SUM(Капвложения!$B14:O14),0)</f>
        <v>74166.666666666672</v>
      </c>
      <c r="Q13" s="97">
        <f>IF(Q$3&gt;=Допущения!$E$4,SUM(Капвложения!$B14:P14),0)</f>
        <v>74166.666666666672</v>
      </c>
      <c r="R13" s="97">
        <f>IF(R$3&gt;=Допущения!$E$4,SUM(Капвложения!$B14:Q14),0)</f>
        <v>74166.666666666672</v>
      </c>
      <c r="S13" s="97">
        <f>IF(S$3&gt;=Допущения!$E$4,SUM(Капвложения!$B14:R14),0)</f>
        <v>74166.666666666672</v>
      </c>
      <c r="T13" s="97">
        <f>IF(T$3&gt;=Допущения!$E$4,SUM(Капвложения!$B14:S14),0)</f>
        <v>74166.666666666672</v>
      </c>
      <c r="U13" s="97">
        <f>IF(U$3&gt;=Допущения!$E$4,SUM(Капвложения!$B14:T14),0)</f>
        <v>74166.666666666672</v>
      </c>
      <c r="V13" s="97">
        <f>IF(V$3&gt;=Допущения!$E$4,SUM(Капвложения!$B14:U14),0)</f>
        <v>74166.666666666672</v>
      </c>
      <c r="W13" s="97">
        <f>IF(W$3&gt;=Допущения!$E$4,SUM(Капвложения!$B14:V14),0)</f>
        <v>74166.666666666672</v>
      </c>
      <c r="X13" s="97">
        <f>IF(X$3&gt;=Допущения!$E$4,SUM(Капвложения!$B14:W14),0)</f>
        <v>74166.666666666672</v>
      </c>
      <c r="Y13" s="97">
        <f>IF(Y$3&gt;=Допущения!$E$4,SUM(Капвложения!$B14:X14),0)</f>
        <v>74166.666666666672</v>
      </c>
      <c r="Z13" s="97">
        <f>IF(Z$3&gt;=Допущения!$E$4,SUM(Капвложения!$B14:Y14),0)</f>
        <v>74166.666666666672</v>
      </c>
      <c r="AA13" s="97">
        <f>IF(AA$3&gt;=Допущения!$E$4,SUM(Капвложения!$B14:Z14),0)</f>
        <v>74166.666666666672</v>
      </c>
      <c r="AB13" s="97">
        <f>IF(AB$3&gt;=Допущения!$E$4,SUM(Капвложения!$B14:AA14),0)</f>
        <v>74166.666666666672</v>
      </c>
      <c r="AC13" s="97">
        <f>IF(AC$3&gt;=Допущения!$E$4,SUM(Капвложения!$B14:AB14),0)</f>
        <v>74166.666666666672</v>
      </c>
      <c r="AD13" s="97">
        <f>IF(AD$3&gt;=Допущения!$E$4,SUM(Капвложения!$B14:AC14),0)</f>
        <v>74166.666666666672</v>
      </c>
      <c r="AE13" s="97">
        <f>IF(AE$3&gt;=Допущения!$E$4,SUM(Капвложения!$B14:AD14),0)</f>
        <v>74166.666666666672</v>
      </c>
      <c r="AF13" s="97">
        <f>IF(AF$3&gt;=Допущения!$E$4,SUM(Капвложения!$B14:AE14),0)</f>
        <v>74166.666666666672</v>
      </c>
      <c r="AG13" s="97">
        <f>IF(AG$3&gt;=Допущения!$E$4,SUM(Капвложения!$B14:AF14),0)</f>
        <v>74166.666666666672</v>
      </c>
      <c r="AH13" s="97">
        <f>IF(AH$3&gt;=Допущения!$E$4,SUM(Капвложения!$B14:AG14),0)</f>
        <v>74166.666666666672</v>
      </c>
      <c r="AI13" s="97">
        <f>IF(AI$3&gt;=Допущения!$E$4,SUM(Капвложения!$B14:AH14),0)</f>
        <v>74166.666666666672</v>
      </c>
      <c r="AJ13" s="97">
        <f>IF(AJ$3&gt;=Допущения!$E$4,SUM(Капвложения!$B14:AI14),0)</f>
        <v>74166.666666666672</v>
      </c>
      <c r="AK13" s="97">
        <f>IF(AK$3&gt;=Допущения!$E$4,SUM(Капвложения!$B14:AJ14),0)</f>
        <v>74166.666666666672</v>
      </c>
      <c r="AL13" s="97">
        <f>IF(AL$3&gt;=Допущения!$E$4,SUM(Капвложения!$B14:AK14),0)</f>
        <v>74166.666666666672</v>
      </c>
      <c r="AM13" s="97">
        <f>IF(AM$3&gt;=Допущения!$E$4,SUM(Капвложения!$B14:AL14),0)</f>
        <v>74166.666666666672</v>
      </c>
      <c r="AN13" s="97">
        <f>IF(AN$3&gt;=Допущения!$E$4,SUM(Капвложения!$B14:AM14),0)</f>
        <v>74166.666666666672</v>
      </c>
      <c r="AO13" s="97">
        <f>IF(AO$3&gt;=Допущения!$E$4,SUM(Капвложения!$B14:AN14),0)</f>
        <v>74166.666666666672</v>
      </c>
      <c r="AP13" s="97">
        <f>IF(AP$3&gt;=Допущения!$E$4,SUM(Капвложения!$B14:AO14),0)</f>
        <v>74166.666666666672</v>
      </c>
      <c r="AQ13" s="97">
        <f>IF(AQ$3&gt;=Допущения!$E$4,SUM(Капвложения!$B14:AP14),0)</f>
        <v>74166.666666666672</v>
      </c>
      <c r="AR13" s="97">
        <f>IF(AR$3&gt;=Допущения!$E$4,SUM(Капвложения!$B14:AQ14),0)</f>
        <v>74166.666666666672</v>
      </c>
      <c r="AS13" s="97">
        <f>IF(AS$3&gt;=Допущения!$E$4,SUM(Капвложения!$B14:AR14),0)</f>
        <v>74166.666666666672</v>
      </c>
      <c r="AT13" s="97">
        <f>IF(AT$3&gt;=Допущения!$E$4,SUM(Капвложения!$B14:AS14),0)</f>
        <v>74166.666666666672</v>
      </c>
      <c r="AU13" s="97">
        <f>IF(AU$3&gt;=Допущения!$E$4,SUM(Капвложения!$B14:AT14),0)</f>
        <v>74166.666666666672</v>
      </c>
      <c r="AV13" s="97">
        <f>IF(AV$3&gt;=Допущения!$E$4,SUM(Капвложения!$B14:AU14),0)</f>
        <v>74166.666666666672</v>
      </c>
      <c r="AW13" s="97">
        <f>IF(AW$3&gt;=Допущения!$E$4,SUM(Капвложения!$B14:AV14),0)</f>
        <v>74166.666666666672</v>
      </c>
      <c r="AX13" s="97">
        <f>IF(AX$3&gt;=Допущения!$E$4,SUM(Капвложения!$B14:AW14),0)</f>
        <v>74166.666666666672</v>
      </c>
      <c r="AY13" s="97">
        <f>IF(AY$3&gt;=Допущения!$E$4,SUM(Капвложения!$B14:AX14),0)</f>
        <v>74166.666666666672</v>
      </c>
      <c r="AZ13" s="97">
        <f>IF(AZ$3&gt;=Допущения!$E$4,SUM(Капвложения!$B14:AY14),0)</f>
        <v>74166.666666666672</v>
      </c>
      <c r="BA13" s="97">
        <f>IF(BA$3&gt;=Допущения!$E$4,SUM(Капвложения!$B14:AZ14),0)</f>
        <v>74166.666666666672</v>
      </c>
      <c r="BB13" s="97">
        <f>IF(BB$3&gt;=Допущения!$E$4,SUM(Капвложения!$B14:BA14),0)</f>
        <v>74166.666666666672</v>
      </c>
      <c r="BC13" s="97">
        <f>IF(BC$3&gt;=Допущения!$E$4,SUM(Капвложения!$B14:BB14),0)</f>
        <v>74166.666666666672</v>
      </c>
      <c r="BD13" s="97">
        <f>IF(BD$3&gt;=Допущения!$E$4,SUM(Капвложения!$B14:BC14),0)</f>
        <v>74166.666666666672</v>
      </c>
      <c r="BE13" s="97">
        <f>IF(BE$3&gt;=Допущения!$E$4,SUM(Капвложения!$B14:BD14),0)</f>
        <v>74166.666666666672</v>
      </c>
      <c r="BF13" s="97">
        <f>IF(BF$3&gt;=Допущения!$E$4,SUM(Капвложения!$B14:BE14),0)</f>
        <v>74166.666666666672</v>
      </c>
      <c r="BG13" s="97">
        <f>IF(BG$3&gt;=Допущения!$E$4,SUM(Капвложения!$B14:BF14),0)</f>
        <v>74166.666666666672</v>
      </c>
      <c r="BH13" s="97">
        <f>IF(BH$3&gt;=Допущения!$E$4,SUM(Капвложения!$B14:BG14),0)</f>
        <v>74166.666666666672</v>
      </c>
      <c r="BI13" s="97">
        <f>IF(BI$3&gt;=Допущения!$E$4,SUM(Капвложения!$B14:BH14),0)</f>
        <v>74166.666666666672</v>
      </c>
      <c r="BJ13" s="97">
        <f>IF(BJ$3&gt;=Допущения!$E$4,SUM(Капвложения!$B14:BI14),0)</f>
        <v>74166.666666666672</v>
      </c>
    </row>
    <row r="14" spans="1:120">
      <c r="A14" s="100" t="str">
        <f t="shared" ref="A14:A15" si="18">A9</f>
        <v>Оборудование и инвентарь</v>
      </c>
      <c r="B14" s="44"/>
      <c r="C14" s="97">
        <f>IF(C$3&gt;=Допущения!$E$4,SUM(Капвложения!$B15:B15),0)</f>
        <v>0</v>
      </c>
      <c r="D14" s="97">
        <f>IF(D$3&gt;=Допущения!$E$4,SUM(Капвложения!$B15:C15),0)</f>
        <v>0</v>
      </c>
      <c r="E14" s="97">
        <f>IF(E$3&gt;=Допущения!$E$4,SUM(Капвложения!$B15:D15),0)</f>
        <v>0</v>
      </c>
      <c r="F14" s="97">
        <f>IF(F$3&gt;=Допущения!$E$4,SUM(Капвложения!$B15:E15),0)</f>
        <v>63394.491666666669</v>
      </c>
      <c r="G14" s="97">
        <f>IF(G$3&gt;=Допущения!$E$4,SUM(Капвложения!$B15:F15),0)</f>
        <v>63394.491666666669</v>
      </c>
      <c r="H14" s="97">
        <f>IF(H$3&gt;=Допущения!$E$4,SUM(Капвложения!$B15:G15),0)</f>
        <v>63394.491666666669</v>
      </c>
      <c r="I14" s="97">
        <f>IF(I$3&gt;=Допущения!$E$4,SUM(Капвложения!$B15:H15),0)</f>
        <v>63394.491666666669</v>
      </c>
      <c r="J14" s="97">
        <f>IF(J$3&gt;=Допущения!$E$4,SUM(Капвложения!$B15:I15),0)</f>
        <v>63394.491666666669</v>
      </c>
      <c r="K14" s="97">
        <f>IF(K$3&gt;=Допущения!$E$4,SUM(Капвложения!$B15:J15),0)</f>
        <v>63394.491666666669</v>
      </c>
      <c r="L14" s="97">
        <f>IF(L$3&gt;=Допущения!$E$4,SUM(Капвложения!$B15:K15),0)</f>
        <v>63394.491666666669</v>
      </c>
      <c r="M14" s="97">
        <f>IF(M$3&gt;=Допущения!$E$4,SUM(Капвложения!$B15:L15),0)</f>
        <v>63394.491666666669</v>
      </c>
      <c r="N14" s="97">
        <f>IF(N$3&gt;=Допущения!$E$4,SUM(Капвложения!$B15:M15),0)</f>
        <v>63394.491666666669</v>
      </c>
      <c r="O14" s="97">
        <f>IF(O$3&gt;=Допущения!$E$4,SUM(Капвложения!$B15:N15),0)</f>
        <v>63394.491666666669</v>
      </c>
      <c r="P14" s="97">
        <f>IF(P$3&gt;=Допущения!$E$4,SUM(Капвложения!$B15:O15),0)</f>
        <v>63394.491666666669</v>
      </c>
      <c r="Q14" s="97">
        <f>IF(Q$3&gt;=Допущения!$E$4,SUM(Капвложения!$B15:P15),0)</f>
        <v>63394.491666666669</v>
      </c>
      <c r="R14" s="97">
        <f>IF(R$3&gt;=Допущения!$E$4,SUM(Капвложения!$B15:Q15),0)</f>
        <v>63394.491666666669</v>
      </c>
      <c r="S14" s="97">
        <f>IF(S$3&gt;=Допущения!$E$4,SUM(Капвложения!$B15:R15),0)</f>
        <v>63394.491666666669</v>
      </c>
      <c r="T14" s="97">
        <f>IF(T$3&gt;=Допущения!$E$4,SUM(Капвложения!$B15:S15),0)</f>
        <v>63394.491666666669</v>
      </c>
      <c r="U14" s="97">
        <f>IF(U$3&gt;=Допущения!$E$4,SUM(Капвложения!$B15:T15),0)</f>
        <v>63394.491666666669</v>
      </c>
      <c r="V14" s="97">
        <f>IF(V$3&gt;=Допущения!$E$4,SUM(Капвложения!$B15:U15),0)</f>
        <v>63394.491666666669</v>
      </c>
      <c r="W14" s="97">
        <f>IF(W$3&gt;=Допущения!$E$4,SUM(Капвложения!$B15:V15),0)</f>
        <v>63394.491666666669</v>
      </c>
      <c r="X14" s="97">
        <f>IF(X$3&gt;=Допущения!$E$4,SUM(Капвложения!$B15:W15),0)</f>
        <v>63394.491666666669</v>
      </c>
      <c r="Y14" s="97">
        <f>IF(Y$3&gt;=Допущения!$E$4,SUM(Капвложения!$B15:X15),0)</f>
        <v>63394.491666666669</v>
      </c>
      <c r="Z14" s="97">
        <f>IF(Z$3&gt;=Допущения!$E$4,SUM(Капвложения!$B15:Y15),0)</f>
        <v>63394.491666666669</v>
      </c>
      <c r="AA14" s="97">
        <f>IF(AA$3&gt;=Допущения!$E$4,SUM(Капвложения!$B15:Z15),0)</f>
        <v>63394.491666666669</v>
      </c>
      <c r="AB14" s="97">
        <f>IF(AB$3&gt;=Допущения!$E$4,SUM(Капвложения!$B15:AA15),0)</f>
        <v>63394.491666666669</v>
      </c>
      <c r="AC14" s="97">
        <f>IF(AC$3&gt;=Допущения!$E$4,SUM(Капвложения!$B15:AB15),0)</f>
        <v>63394.491666666669</v>
      </c>
      <c r="AD14" s="97">
        <f>IF(AD$3&gt;=Допущения!$E$4,SUM(Капвложения!$B15:AC15),0)</f>
        <v>63394.491666666669</v>
      </c>
      <c r="AE14" s="97">
        <f>IF(AE$3&gt;=Допущения!$E$4,SUM(Капвложения!$B15:AD15),0)</f>
        <v>63394.491666666669</v>
      </c>
      <c r="AF14" s="97">
        <f>IF(AF$3&gt;=Допущения!$E$4,SUM(Капвложения!$B15:AE15),0)</f>
        <v>63394.491666666669</v>
      </c>
      <c r="AG14" s="97">
        <f>IF(AG$3&gt;=Допущения!$E$4,SUM(Капвложения!$B15:AF15),0)</f>
        <v>63394.491666666669</v>
      </c>
      <c r="AH14" s="97">
        <f>IF(AH$3&gt;=Допущения!$E$4,SUM(Капвложения!$B15:AG15),0)</f>
        <v>63394.491666666669</v>
      </c>
      <c r="AI14" s="97">
        <f>IF(AI$3&gt;=Допущения!$E$4,SUM(Капвложения!$B15:AH15),0)</f>
        <v>63394.491666666669</v>
      </c>
      <c r="AJ14" s="97">
        <f>IF(AJ$3&gt;=Допущения!$E$4,SUM(Капвложения!$B15:AI15),0)</f>
        <v>63394.491666666669</v>
      </c>
      <c r="AK14" s="97">
        <f>IF(AK$3&gt;=Допущения!$E$4,SUM(Капвложения!$B15:AJ15),0)</f>
        <v>63394.491666666669</v>
      </c>
      <c r="AL14" s="97">
        <f>IF(AL$3&gt;=Допущения!$E$4,SUM(Капвложения!$B15:AK15),0)</f>
        <v>63394.491666666669</v>
      </c>
      <c r="AM14" s="97">
        <f>IF(AM$3&gt;=Допущения!$E$4,SUM(Капвложения!$B15:AL15),0)</f>
        <v>63394.491666666669</v>
      </c>
      <c r="AN14" s="97">
        <f>IF(AN$3&gt;=Допущения!$E$4,SUM(Капвложения!$B15:AM15),0)</f>
        <v>63394.491666666669</v>
      </c>
      <c r="AO14" s="97">
        <f>IF(AO$3&gt;=Допущения!$E$4,SUM(Капвложения!$B15:AN15),0)</f>
        <v>63394.491666666669</v>
      </c>
      <c r="AP14" s="97">
        <f>IF(AP$3&gt;=Допущения!$E$4,SUM(Капвложения!$B15:AO15),0)</f>
        <v>63394.491666666669</v>
      </c>
      <c r="AQ14" s="97">
        <f>IF(AQ$3&gt;=Допущения!$E$4,SUM(Капвложения!$B15:AP15),0)</f>
        <v>63394.491666666669</v>
      </c>
      <c r="AR14" s="97">
        <f>IF(AR$3&gt;=Допущения!$E$4,SUM(Капвложения!$B15:AQ15),0)</f>
        <v>63394.491666666669</v>
      </c>
      <c r="AS14" s="97">
        <f>IF(AS$3&gt;=Допущения!$E$4,SUM(Капвложения!$B15:AR15),0)</f>
        <v>63394.491666666669</v>
      </c>
      <c r="AT14" s="97">
        <f>IF(AT$3&gt;=Допущения!$E$4,SUM(Капвложения!$B15:AS15),0)</f>
        <v>63394.491666666669</v>
      </c>
      <c r="AU14" s="97">
        <f>IF(AU$3&gt;=Допущения!$E$4,SUM(Капвложения!$B15:AT15),0)</f>
        <v>63394.491666666669</v>
      </c>
      <c r="AV14" s="97">
        <f>IF(AV$3&gt;=Допущения!$E$4,SUM(Капвложения!$B15:AU15),0)</f>
        <v>63394.491666666669</v>
      </c>
      <c r="AW14" s="97">
        <f>IF(AW$3&gt;=Допущения!$E$4,SUM(Капвложения!$B15:AV15),0)</f>
        <v>63394.491666666669</v>
      </c>
      <c r="AX14" s="97">
        <f>IF(AX$3&gt;=Допущения!$E$4,SUM(Капвложения!$B15:AW15),0)</f>
        <v>63394.491666666669</v>
      </c>
      <c r="AY14" s="97">
        <f>IF(AY$3&gt;=Допущения!$E$4,SUM(Капвложения!$B15:AX15),0)</f>
        <v>63394.491666666669</v>
      </c>
      <c r="AZ14" s="97">
        <f>IF(AZ$3&gt;=Допущения!$E$4,SUM(Капвложения!$B15:AY15),0)</f>
        <v>63394.491666666669</v>
      </c>
      <c r="BA14" s="97">
        <f>IF(BA$3&gt;=Допущения!$E$4,SUM(Капвложения!$B15:AZ15),0)</f>
        <v>63394.491666666669</v>
      </c>
      <c r="BB14" s="97">
        <f>IF(BB$3&gt;=Допущения!$E$4,SUM(Капвложения!$B15:BA15),0)</f>
        <v>63394.491666666669</v>
      </c>
      <c r="BC14" s="97">
        <f>IF(BC$3&gt;=Допущения!$E$4,SUM(Капвложения!$B15:BB15),0)</f>
        <v>63394.491666666669</v>
      </c>
      <c r="BD14" s="97">
        <f>IF(BD$3&gt;=Допущения!$E$4,SUM(Капвложения!$B15:BC15),0)</f>
        <v>63394.491666666669</v>
      </c>
      <c r="BE14" s="97">
        <f>IF(BE$3&gt;=Допущения!$E$4,SUM(Капвложения!$B15:BD15),0)</f>
        <v>63394.491666666669</v>
      </c>
      <c r="BF14" s="97">
        <f>IF(BF$3&gt;=Допущения!$E$4,SUM(Капвложения!$B15:BE15),0)</f>
        <v>63394.491666666669</v>
      </c>
      <c r="BG14" s="97">
        <f>IF(BG$3&gt;=Допущения!$E$4,SUM(Капвложения!$B15:BF15),0)</f>
        <v>63394.491666666669</v>
      </c>
      <c r="BH14" s="97">
        <f>IF(BH$3&gt;=Допущения!$E$4,SUM(Капвложения!$B15:BG15),0)</f>
        <v>63394.491666666669</v>
      </c>
      <c r="BI14" s="97">
        <f>IF(BI$3&gt;=Допущения!$E$4,SUM(Капвложения!$B15:BH15),0)</f>
        <v>63394.491666666669</v>
      </c>
      <c r="BJ14" s="97">
        <f>IF(BJ$3&gt;=Допущения!$E$4,SUM(Капвложения!$B15:BI15),0)</f>
        <v>63394.491666666669</v>
      </c>
    </row>
    <row r="15" spans="1:120">
      <c r="A15" s="100" t="str">
        <f t="shared" si="18"/>
        <v>Прочие подготовительные расходы</v>
      </c>
      <c r="B15" s="44"/>
      <c r="C15" s="97">
        <f>IF(C$3&gt;=Допущения!$E$4,SUM(Капвложения!$B16:B16),0)</f>
        <v>0</v>
      </c>
      <c r="D15" s="97">
        <f>IF(D$3&gt;=Допущения!$E$4,SUM(Капвложения!$B16:C16),0)</f>
        <v>0</v>
      </c>
      <c r="E15" s="97">
        <f>IF(E$3&gt;=Допущения!$E$4,SUM(Капвложения!$B16:D16),0)</f>
        <v>0</v>
      </c>
      <c r="F15" s="97">
        <f>IF(F$3&gt;=Допущения!$E$4,SUM(Капвложения!$B16:E16),0)</f>
        <v>4408.3333333333339</v>
      </c>
      <c r="G15" s="97">
        <f>IF(G$3&gt;=Допущения!$E$4,SUM(Капвложения!$B16:F16),0)</f>
        <v>4408.3333333333339</v>
      </c>
      <c r="H15" s="97">
        <f>IF(H$3&gt;=Допущения!$E$4,SUM(Капвложения!$B16:G16),0)</f>
        <v>4408.3333333333339</v>
      </c>
      <c r="I15" s="97">
        <f>IF(I$3&gt;=Допущения!$E$4,SUM(Капвложения!$B16:H16),0)</f>
        <v>4408.3333333333339</v>
      </c>
      <c r="J15" s="97">
        <f>IF(J$3&gt;=Допущения!$E$4,SUM(Капвложения!$B16:I16),0)</f>
        <v>4408.3333333333339</v>
      </c>
      <c r="K15" s="97">
        <f>IF(K$3&gt;=Допущения!$E$4,SUM(Капвложения!$B16:J16),0)</f>
        <v>4408.3333333333339</v>
      </c>
      <c r="L15" s="97">
        <f>IF(L$3&gt;=Допущения!$E$4,SUM(Капвложения!$B16:K16),0)</f>
        <v>4408.3333333333339</v>
      </c>
      <c r="M15" s="97">
        <f>IF(M$3&gt;=Допущения!$E$4,SUM(Капвложения!$B16:L16),0)</f>
        <v>4408.3333333333339</v>
      </c>
      <c r="N15" s="97">
        <f>IF(N$3&gt;=Допущения!$E$4,SUM(Капвложения!$B16:M16),0)</f>
        <v>4408.3333333333339</v>
      </c>
      <c r="O15" s="97">
        <f>IF(O$3&gt;=Допущения!$E$4,SUM(Капвложения!$B16:N16),0)</f>
        <v>4408.3333333333339</v>
      </c>
      <c r="P15" s="97">
        <f>IF(P$3&gt;=Допущения!$E$4,SUM(Капвложения!$B16:O16),0)</f>
        <v>4408.3333333333339</v>
      </c>
      <c r="Q15" s="97">
        <f>IF(Q$3&gt;=Допущения!$E$4,SUM(Капвложения!$B16:P16),0)</f>
        <v>4408.3333333333339</v>
      </c>
      <c r="R15" s="97">
        <f>IF(R$3&gt;=Допущения!$E$4,SUM(Капвложения!$B16:Q16),0)</f>
        <v>4408.3333333333339</v>
      </c>
      <c r="S15" s="97">
        <f>IF(S$3&gt;=Допущения!$E$4,SUM(Капвложения!$B16:R16),0)</f>
        <v>4408.3333333333339</v>
      </c>
      <c r="T15" s="97">
        <f>IF(T$3&gt;=Допущения!$E$4,SUM(Капвложения!$B16:S16),0)</f>
        <v>4408.3333333333339</v>
      </c>
      <c r="U15" s="97">
        <f>IF(U$3&gt;=Допущения!$E$4,SUM(Капвложения!$B16:T16),0)</f>
        <v>4408.3333333333339</v>
      </c>
      <c r="V15" s="97">
        <f>IF(V$3&gt;=Допущения!$E$4,SUM(Капвложения!$B16:U16),0)</f>
        <v>4408.3333333333339</v>
      </c>
      <c r="W15" s="97">
        <f>IF(W$3&gt;=Допущения!$E$4,SUM(Капвложения!$B16:V16),0)</f>
        <v>4408.3333333333339</v>
      </c>
      <c r="X15" s="97">
        <f>IF(X$3&gt;=Допущения!$E$4,SUM(Капвложения!$B16:W16),0)</f>
        <v>4408.3333333333339</v>
      </c>
      <c r="Y15" s="97">
        <f>IF(Y$3&gt;=Допущения!$E$4,SUM(Капвложения!$B16:X16),0)</f>
        <v>4408.3333333333339</v>
      </c>
      <c r="Z15" s="97">
        <f>IF(Z$3&gt;=Допущения!$E$4,SUM(Капвложения!$B16:Y16),0)</f>
        <v>4408.3333333333339</v>
      </c>
      <c r="AA15" s="97">
        <f>IF(AA$3&gt;=Допущения!$E$4,SUM(Капвложения!$B16:Z16),0)</f>
        <v>4408.3333333333339</v>
      </c>
      <c r="AB15" s="97">
        <f>IF(AB$3&gt;=Допущения!$E$4,SUM(Капвложения!$B16:AA16),0)</f>
        <v>4408.3333333333339</v>
      </c>
      <c r="AC15" s="97">
        <f>IF(AC$3&gt;=Допущения!$E$4,SUM(Капвложения!$B16:AB16),0)</f>
        <v>4408.3333333333339</v>
      </c>
      <c r="AD15" s="97">
        <f>IF(AD$3&gt;=Допущения!$E$4,SUM(Капвложения!$B16:AC16),0)</f>
        <v>4408.3333333333339</v>
      </c>
      <c r="AE15" s="97">
        <f>IF(AE$3&gt;=Допущения!$E$4,SUM(Капвложения!$B16:AD16),0)</f>
        <v>4408.3333333333339</v>
      </c>
      <c r="AF15" s="97">
        <f>IF(AF$3&gt;=Допущения!$E$4,SUM(Капвложения!$B16:AE16),0)</f>
        <v>4408.3333333333339</v>
      </c>
      <c r="AG15" s="97">
        <f>IF(AG$3&gt;=Допущения!$E$4,SUM(Капвложения!$B16:AF16),0)</f>
        <v>4408.3333333333339</v>
      </c>
      <c r="AH15" s="97">
        <f>IF(AH$3&gt;=Допущения!$E$4,SUM(Капвложения!$B16:AG16),0)</f>
        <v>4408.3333333333339</v>
      </c>
      <c r="AI15" s="97">
        <f>IF(AI$3&gt;=Допущения!$E$4,SUM(Капвложения!$B16:AH16),0)</f>
        <v>4408.3333333333339</v>
      </c>
      <c r="AJ15" s="97">
        <f>IF(AJ$3&gt;=Допущения!$E$4,SUM(Капвложения!$B16:AI16),0)</f>
        <v>4408.3333333333339</v>
      </c>
      <c r="AK15" s="97">
        <f>IF(AK$3&gt;=Допущения!$E$4,SUM(Капвложения!$B16:AJ16),0)</f>
        <v>4408.3333333333339</v>
      </c>
      <c r="AL15" s="97">
        <f>IF(AL$3&gt;=Допущения!$E$4,SUM(Капвложения!$B16:AK16),0)</f>
        <v>4408.3333333333339</v>
      </c>
      <c r="AM15" s="97">
        <f>IF(AM$3&gt;=Допущения!$E$4,SUM(Капвложения!$B16:AL16),0)</f>
        <v>4408.3333333333339</v>
      </c>
      <c r="AN15" s="97">
        <f>IF(AN$3&gt;=Допущения!$E$4,SUM(Капвложения!$B16:AM16),0)</f>
        <v>4408.3333333333339</v>
      </c>
      <c r="AO15" s="97">
        <f>IF(AO$3&gt;=Допущения!$E$4,SUM(Капвложения!$B16:AN16),0)</f>
        <v>4408.3333333333339</v>
      </c>
      <c r="AP15" s="97">
        <f>IF(AP$3&gt;=Допущения!$E$4,SUM(Капвложения!$B16:AO16),0)</f>
        <v>4408.3333333333339</v>
      </c>
      <c r="AQ15" s="97">
        <f>IF(AQ$3&gt;=Допущения!$E$4,SUM(Капвложения!$B16:AP16),0)</f>
        <v>4408.3333333333339</v>
      </c>
      <c r="AR15" s="97">
        <f>IF(AR$3&gt;=Допущения!$E$4,SUM(Капвложения!$B16:AQ16),0)</f>
        <v>4408.3333333333339</v>
      </c>
      <c r="AS15" s="97">
        <f>IF(AS$3&gt;=Допущения!$E$4,SUM(Капвложения!$B16:AR16),0)</f>
        <v>4408.3333333333339</v>
      </c>
      <c r="AT15" s="97">
        <f>IF(AT$3&gt;=Допущения!$E$4,SUM(Капвложения!$B16:AS16),0)</f>
        <v>4408.3333333333339</v>
      </c>
      <c r="AU15" s="97">
        <f>IF(AU$3&gt;=Допущения!$E$4,SUM(Капвложения!$B16:AT16),0)</f>
        <v>4408.3333333333339</v>
      </c>
      <c r="AV15" s="97">
        <f>IF(AV$3&gt;=Допущения!$E$4,SUM(Капвложения!$B16:AU16),0)</f>
        <v>4408.3333333333339</v>
      </c>
      <c r="AW15" s="97">
        <f>IF(AW$3&gt;=Допущения!$E$4,SUM(Капвложения!$B16:AV16),0)</f>
        <v>4408.3333333333339</v>
      </c>
      <c r="AX15" s="97">
        <f>IF(AX$3&gt;=Допущения!$E$4,SUM(Капвложения!$B16:AW16),0)</f>
        <v>4408.3333333333339</v>
      </c>
      <c r="AY15" s="97">
        <f>IF(AY$3&gt;=Допущения!$E$4,SUM(Капвложения!$B16:AX16),0)</f>
        <v>4408.3333333333339</v>
      </c>
      <c r="AZ15" s="97">
        <f>IF(AZ$3&gt;=Допущения!$E$4,SUM(Капвложения!$B16:AY16),0)</f>
        <v>4408.3333333333339</v>
      </c>
      <c r="BA15" s="97">
        <f>IF(BA$3&gt;=Допущения!$E$4,SUM(Капвложения!$B16:AZ16),0)</f>
        <v>4408.3333333333339</v>
      </c>
      <c r="BB15" s="97">
        <f>IF(BB$3&gt;=Допущения!$E$4,SUM(Капвложения!$B16:BA16),0)</f>
        <v>4408.3333333333339</v>
      </c>
      <c r="BC15" s="97">
        <f>IF(BC$3&gt;=Допущения!$E$4,SUM(Капвложения!$B16:BB16),0)</f>
        <v>4408.3333333333339</v>
      </c>
      <c r="BD15" s="97">
        <f>IF(BD$3&gt;=Допущения!$E$4,SUM(Капвложения!$B16:BC16),0)</f>
        <v>4408.3333333333339</v>
      </c>
      <c r="BE15" s="97">
        <f>IF(BE$3&gt;=Допущения!$E$4,SUM(Капвложения!$B16:BD16),0)</f>
        <v>4408.3333333333339</v>
      </c>
      <c r="BF15" s="97">
        <f>IF(BF$3&gt;=Допущения!$E$4,SUM(Капвложения!$B16:BE16),0)</f>
        <v>4408.3333333333339</v>
      </c>
      <c r="BG15" s="97">
        <f>IF(BG$3&gt;=Допущения!$E$4,SUM(Капвложения!$B16:BF16),0)</f>
        <v>4408.3333333333339</v>
      </c>
      <c r="BH15" s="97">
        <f>IF(BH$3&gt;=Допущения!$E$4,SUM(Капвложения!$B16:BG16),0)</f>
        <v>4408.3333333333339</v>
      </c>
      <c r="BI15" s="97">
        <f>IF(BI$3&gt;=Допущения!$E$4,SUM(Капвложения!$B16:BH16),0)</f>
        <v>4408.3333333333339</v>
      </c>
      <c r="BJ15" s="97">
        <f>IF(BJ$3&gt;=Допущения!$E$4,SUM(Капвложения!$B16:BI16),0)</f>
        <v>4408.3333333333339</v>
      </c>
    </row>
    <row r="16" spans="1:120">
      <c r="A16" s="34" t="s">
        <v>127</v>
      </c>
      <c r="B16" s="22"/>
      <c r="C16" s="98">
        <f>SUM(C13:C15)</f>
        <v>0</v>
      </c>
      <c r="D16" s="98">
        <f t="shared" ref="D16:BJ16" si="19">SUM(D13:D15)</f>
        <v>0</v>
      </c>
      <c r="E16" s="98">
        <f t="shared" si="19"/>
        <v>0</v>
      </c>
      <c r="F16" s="98">
        <f t="shared" si="19"/>
        <v>141969.49166666667</v>
      </c>
      <c r="G16" s="98">
        <f t="shared" si="19"/>
        <v>141969.49166666667</v>
      </c>
      <c r="H16" s="98">
        <f t="shared" si="19"/>
        <v>141969.49166666667</v>
      </c>
      <c r="I16" s="98">
        <f t="shared" si="19"/>
        <v>141969.49166666667</v>
      </c>
      <c r="J16" s="98">
        <f t="shared" si="19"/>
        <v>141969.49166666667</v>
      </c>
      <c r="K16" s="98">
        <f t="shared" si="19"/>
        <v>141969.49166666667</v>
      </c>
      <c r="L16" s="98">
        <f t="shared" si="19"/>
        <v>141969.49166666667</v>
      </c>
      <c r="M16" s="98">
        <f t="shared" si="19"/>
        <v>141969.49166666667</v>
      </c>
      <c r="N16" s="98">
        <f t="shared" si="19"/>
        <v>141969.49166666667</v>
      </c>
      <c r="O16" s="98">
        <f t="shared" si="19"/>
        <v>141969.49166666667</v>
      </c>
      <c r="P16" s="98">
        <f t="shared" si="19"/>
        <v>141969.49166666667</v>
      </c>
      <c r="Q16" s="98">
        <f t="shared" si="19"/>
        <v>141969.49166666667</v>
      </c>
      <c r="R16" s="98">
        <f t="shared" si="19"/>
        <v>141969.49166666667</v>
      </c>
      <c r="S16" s="98">
        <f t="shared" si="19"/>
        <v>141969.49166666667</v>
      </c>
      <c r="T16" s="98">
        <f t="shared" si="19"/>
        <v>141969.49166666667</v>
      </c>
      <c r="U16" s="98">
        <f t="shared" si="19"/>
        <v>141969.49166666667</v>
      </c>
      <c r="V16" s="98">
        <f t="shared" si="19"/>
        <v>141969.49166666667</v>
      </c>
      <c r="W16" s="98">
        <f t="shared" si="19"/>
        <v>141969.49166666667</v>
      </c>
      <c r="X16" s="98">
        <f t="shared" si="19"/>
        <v>141969.49166666667</v>
      </c>
      <c r="Y16" s="98">
        <f t="shared" si="19"/>
        <v>141969.49166666667</v>
      </c>
      <c r="Z16" s="98">
        <f t="shared" si="19"/>
        <v>141969.49166666667</v>
      </c>
      <c r="AA16" s="98">
        <f t="shared" si="19"/>
        <v>141969.49166666667</v>
      </c>
      <c r="AB16" s="98">
        <f t="shared" si="19"/>
        <v>141969.49166666667</v>
      </c>
      <c r="AC16" s="98">
        <f t="shared" si="19"/>
        <v>141969.49166666667</v>
      </c>
      <c r="AD16" s="98">
        <f t="shared" si="19"/>
        <v>141969.49166666667</v>
      </c>
      <c r="AE16" s="98">
        <f t="shared" si="19"/>
        <v>141969.49166666667</v>
      </c>
      <c r="AF16" s="98">
        <f t="shared" si="19"/>
        <v>141969.49166666667</v>
      </c>
      <c r="AG16" s="98">
        <f t="shared" si="19"/>
        <v>141969.49166666667</v>
      </c>
      <c r="AH16" s="98">
        <f t="shared" si="19"/>
        <v>141969.49166666667</v>
      </c>
      <c r="AI16" s="98">
        <f t="shared" si="19"/>
        <v>141969.49166666667</v>
      </c>
      <c r="AJ16" s="98">
        <f t="shared" si="19"/>
        <v>141969.49166666667</v>
      </c>
      <c r="AK16" s="98">
        <f t="shared" si="19"/>
        <v>141969.49166666667</v>
      </c>
      <c r="AL16" s="98">
        <f t="shared" si="19"/>
        <v>141969.49166666667</v>
      </c>
      <c r="AM16" s="98">
        <f t="shared" si="19"/>
        <v>141969.49166666667</v>
      </c>
      <c r="AN16" s="98">
        <f t="shared" si="19"/>
        <v>141969.49166666667</v>
      </c>
      <c r="AO16" s="98">
        <f t="shared" si="19"/>
        <v>141969.49166666667</v>
      </c>
      <c r="AP16" s="98">
        <f t="shared" si="19"/>
        <v>141969.49166666667</v>
      </c>
      <c r="AQ16" s="98">
        <f t="shared" si="19"/>
        <v>141969.49166666667</v>
      </c>
      <c r="AR16" s="98">
        <f t="shared" si="19"/>
        <v>141969.49166666667</v>
      </c>
      <c r="AS16" s="98">
        <f t="shared" si="19"/>
        <v>141969.49166666667</v>
      </c>
      <c r="AT16" s="98">
        <f t="shared" si="19"/>
        <v>141969.49166666667</v>
      </c>
      <c r="AU16" s="98">
        <f t="shared" si="19"/>
        <v>141969.49166666667</v>
      </c>
      <c r="AV16" s="98">
        <f t="shared" si="19"/>
        <v>141969.49166666667</v>
      </c>
      <c r="AW16" s="98">
        <f t="shared" si="19"/>
        <v>141969.49166666667</v>
      </c>
      <c r="AX16" s="98">
        <f t="shared" si="19"/>
        <v>141969.49166666667</v>
      </c>
      <c r="AY16" s="98">
        <f t="shared" si="19"/>
        <v>141969.49166666667</v>
      </c>
      <c r="AZ16" s="98">
        <f t="shared" si="19"/>
        <v>141969.49166666667</v>
      </c>
      <c r="BA16" s="98">
        <f t="shared" si="19"/>
        <v>141969.49166666667</v>
      </c>
      <c r="BB16" s="98">
        <f t="shared" si="19"/>
        <v>141969.49166666667</v>
      </c>
      <c r="BC16" s="98">
        <f t="shared" si="19"/>
        <v>141969.49166666667</v>
      </c>
      <c r="BD16" s="98">
        <f t="shared" si="19"/>
        <v>141969.49166666667</v>
      </c>
      <c r="BE16" s="98">
        <f t="shared" si="19"/>
        <v>141969.49166666667</v>
      </c>
      <c r="BF16" s="98">
        <f t="shared" si="19"/>
        <v>141969.49166666667</v>
      </c>
      <c r="BG16" s="98">
        <f t="shared" si="19"/>
        <v>141969.49166666667</v>
      </c>
      <c r="BH16" s="98">
        <f t="shared" si="19"/>
        <v>141969.49166666667</v>
      </c>
      <c r="BI16" s="98">
        <f t="shared" si="19"/>
        <v>141969.49166666667</v>
      </c>
      <c r="BJ16" s="98">
        <f t="shared" si="19"/>
        <v>141969.49166666667</v>
      </c>
    </row>
    <row r="17" spans="1:69">
      <c r="A17" s="40"/>
    </row>
    <row r="18" spans="1:69">
      <c r="A18" s="18" t="s">
        <v>265</v>
      </c>
      <c r="B18" s="18"/>
    </row>
    <row r="19" spans="1:69">
      <c r="A19" s="100" t="str">
        <f>A8</f>
        <v>Здания и сооружения</v>
      </c>
      <c r="B19" s="44"/>
      <c r="C19" s="97">
        <f>MIN(C13*(1/SUMIF($A$8:$A$10,$A19,$B$8:$B$10)),C13-SUM($B19:B19))</f>
        <v>0</v>
      </c>
      <c r="D19" s="97">
        <f>MIN(D13*(1/SUMIF($A$8:$A$10,$A19,$B$8:$B$10)),D13-SUM($B19:C19))</f>
        <v>0</v>
      </c>
      <c r="E19" s="97">
        <f>MIN(E13*(1/SUMIF($A$8:$A$10,$A19,$B$8:$B$10)),E13-SUM($B19:D19))</f>
        <v>0</v>
      </c>
      <c r="F19" s="97">
        <f>MIN(F13*(1/SUMIF($A$8:$A$10,$A19,$B$8:$B$10)),F13-SUM($B19:E19))</f>
        <v>206.01851851851853</v>
      </c>
      <c r="G19" s="97">
        <f>MIN(G13*(1/SUMIF($A$8:$A$10,$A19,$B$8:$B$10)),G13-SUM($B19:F19))</f>
        <v>206.01851851851853</v>
      </c>
      <c r="H19" s="97">
        <f>MIN(H13*(1/SUMIF($A$8:$A$10,$A19,$B$8:$B$10)),H13-SUM($B19:G19))</f>
        <v>206.01851851851853</v>
      </c>
      <c r="I19" s="97">
        <f>MIN(I13*(1/SUMIF($A$8:$A$10,$A19,$B$8:$B$10)),I13-SUM($B19:H19))</f>
        <v>206.01851851851853</v>
      </c>
      <c r="J19" s="97">
        <f>MIN(J13*(1/SUMIF($A$8:$A$10,$A19,$B$8:$B$10)),J13-SUM($B19:I19))</f>
        <v>206.01851851851853</v>
      </c>
      <c r="K19" s="97">
        <f>MIN(K13*(1/SUMIF($A$8:$A$10,$A19,$B$8:$B$10)),K13-SUM($B19:J19))</f>
        <v>206.01851851851853</v>
      </c>
      <c r="L19" s="97">
        <f>MIN(L13*(1/SUMIF($A$8:$A$10,$A19,$B$8:$B$10)),L13-SUM($B19:K19))</f>
        <v>206.01851851851853</v>
      </c>
      <c r="M19" s="97">
        <f>MIN(M13*(1/SUMIF($A$8:$A$10,$A19,$B$8:$B$10)),M13-SUM($B19:L19))</f>
        <v>206.01851851851853</v>
      </c>
      <c r="N19" s="97">
        <f>MIN(N13*(1/SUMIF($A$8:$A$10,$A19,$B$8:$B$10)),N13-SUM($B19:M19))</f>
        <v>206.01851851851853</v>
      </c>
      <c r="O19" s="97">
        <f>MIN(O13*(1/SUMIF($A$8:$A$10,$A19,$B$8:$B$10)),O13-SUM($B19:N19))</f>
        <v>206.01851851851853</v>
      </c>
      <c r="P19" s="97">
        <f>MIN(P13*(1/SUMIF($A$8:$A$10,$A19,$B$8:$B$10)),P13-SUM($B19:O19))</f>
        <v>206.01851851851853</v>
      </c>
      <c r="Q19" s="97">
        <f>MIN(Q13*(1/SUMIF($A$8:$A$10,$A19,$B$8:$B$10)),Q13-SUM($B19:P19))</f>
        <v>206.01851851851853</v>
      </c>
      <c r="R19" s="97">
        <f>MIN(R13*(1/SUMIF($A$8:$A$10,$A19,$B$8:$B$10)),R13-SUM($B19:Q19))</f>
        <v>206.01851851851853</v>
      </c>
      <c r="S19" s="97">
        <f>MIN(S13*(1/SUMIF($A$8:$A$10,$A19,$B$8:$B$10)),S13-SUM($B19:R19))</f>
        <v>206.01851851851853</v>
      </c>
      <c r="T19" s="97">
        <f>MIN(T13*(1/SUMIF($A$8:$A$10,$A19,$B$8:$B$10)),T13-SUM($B19:S19))</f>
        <v>206.01851851851853</v>
      </c>
      <c r="U19" s="97">
        <f>MIN(U13*(1/SUMIF($A$8:$A$10,$A19,$B$8:$B$10)),U13-SUM($B19:T19))</f>
        <v>206.01851851851853</v>
      </c>
      <c r="V19" s="97">
        <f>MIN(V13*(1/SUMIF($A$8:$A$10,$A19,$B$8:$B$10)),V13-SUM($B19:U19))</f>
        <v>206.01851851851853</v>
      </c>
      <c r="W19" s="97">
        <f>MIN(W13*(1/SUMIF($A$8:$A$10,$A19,$B$8:$B$10)),W13-SUM($B19:V19))</f>
        <v>206.01851851851853</v>
      </c>
      <c r="X19" s="97">
        <f>MIN(X13*(1/SUMIF($A$8:$A$10,$A19,$B$8:$B$10)),X13-SUM($B19:W19))</f>
        <v>206.01851851851853</v>
      </c>
      <c r="Y19" s="97">
        <f>MIN(Y13*(1/SUMIF($A$8:$A$10,$A19,$B$8:$B$10)),Y13-SUM($B19:X19))</f>
        <v>206.01851851851853</v>
      </c>
      <c r="Z19" s="97">
        <f>MIN(Z13*(1/SUMIF($A$8:$A$10,$A19,$B$8:$B$10)),Z13-SUM($B19:Y19))</f>
        <v>206.01851851851853</v>
      </c>
      <c r="AA19" s="97">
        <f>MIN(AA13*(1/SUMIF($A$8:$A$10,$A19,$B$8:$B$10)),AA13-SUM($B19:Z19))</f>
        <v>206.01851851851853</v>
      </c>
      <c r="AB19" s="97">
        <f>MIN(AB13*(1/SUMIF($A$8:$A$10,$A19,$B$8:$B$10)),AB13-SUM($B19:AA19))</f>
        <v>206.01851851851853</v>
      </c>
      <c r="AC19" s="97">
        <f>MIN(AC13*(1/SUMIF($A$8:$A$10,$A19,$B$8:$B$10)),AC13-SUM($B19:AB19))</f>
        <v>206.01851851851853</v>
      </c>
      <c r="AD19" s="97">
        <f>MIN(AD13*(1/SUMIF($A$8:$A$10,$A19,$B$8:$B$10)),AD13-SUM($B19:AC19))</f>
        <v>206.01851851851853</v>
      </c>
      <c r="AE19" s="97">
        <f>MIN(AE13*(1/SUMIF($A$8:$A$10,$A19,$B$8:$B$10)),AE13-SUM($B19:AD19))</f>
        <v>206.01851851851853</v>
      </c>
      <c r="AF19" s="97">
        <f>MIN(AF13*(1/SUMIF($A$8:$A$10,$A19,$B$8:$B$10)),AF13-SUM($B19:AE19))</f>
        <v>206.01851851851853</v>
      </c>
      <c r="AG19" s="97">
        <f>MIN(AG13*(1/SUMIF($A$8:$A$10,$A19,$B$8:$B$10)),AG13-SUM($B19:AF19))</f>
        <v>206.01851851851853</v>
      </c>
      <c r="AH19" s="97">
        <f>MIN(AH13*(1/SUMIF($A$8:$A$10,$A19,$B$8:$B$10)),AH13-SUM($B19:AG19))</f>
        <v>206.01851851851853</v>
      </c>
      <c r="AI19" s="97">
        <f>MIN(AI13*(1/SUMIF($A$8:$A$10,$A19,$B$8:$B$10)),AI13-SUM($B19:AH19))</f>
        <v>206.01851851851853</v>
      </c>
      <c r="AJ19" s="97">
        <f>MIN(AJ13*(1/SUMIF($A$8:$A$10,$A19,$B$8:$B$10)),AJ13-SUM($B19:AI19))</f>
        <v>206.01851851851853</v>
      </c>
      <c r="AK19" s="97">
        <f>MIN(AK13*(1/SUMIF($A$8:$A$10,$A19,$B$8:$B$10)),AK13-SUM($B19:AJ19))</f>
        <v>206.01851851851853</v>
      </c>
      <c r="AL19" s="97">
        <f>MIN(AL13*(1/SUMIF($A$8:$A$10,$A19,$B$8:$B$10)),AL13-SUM($B19:AK19))</f>
        <v>206.01851851851853</v>
      </c>
      <c r="AM19" s="97">
        <f>MIN(AM13*(1/SUMIF($A$8:$A$10,$A19,$B$8:$B$10)),AM13-SUM($B19:AL19))</f>
        <v>206.01851851851853</v>
      </c>
      <c r="AN19" s="97">
        <f>MIN(AN13*(1/SUMIF($A$8:$A$10,$A19,$B$8:$B$10)),AN13-SUM($B19:AM19))</f>
        <v>206.01851851851853</v>
      </c>
      <c r="AO19" s="97">
        <f>MIN(AO13*(1/SUMIF($A$8:$A$10,$A19,$B$8:$B$10)),AO13-SUM($B19:AN19))</f>
        <v>206.01851851851853</v>
      </c>
      <c r="AP19" s="97">
        <f>MIN(AP13*(1/SUMIF($A$8:$A$10,$A19,$B$8:$B$10)),AP13-SUM($B19:AO19))</f>
        <v>206.01851851851853</v>
      </c>
      <c r="AQ19" s="97">
        <f>MIN(AQ13*(1/SUMIF($A$8:$A$10,$A19,$B$8:$B$10)),AQ13-SUM($B19:AP19))</f>
        <v>206.01851851851853</v>
      </c>
      <c r="AR19" s="97">
        <f>MIN(AR13*(1/SUMIF($A$8:$A$10,$A19,$B$8:$B$10)),AR13-SUM($B19:AQ19))</f>
        <v>206.01851851851853</v>
      </c>
      <c r="AS19" s="97">
        <f>MIN(AS13*(1/SUMIF($A$8:$A$10,$A19,$B$8:$B$10)),AS13-SUM($B19:AR19))</f>
        <v>206.01851851851853</v>
      </c>
      <c r="AT19" s="97">
        <f>MIN(AT13*(1/SUMIF($A$8:$A$10,$A19,$B$8:$B$10)),AT13-SUM($B19:AS19))</f>
        <v>206.01851851851853</v>
      </c>
      <c r="AU19" s="97">
        <f>MIN(AU13*(1/SUMIF($A$8:$A$10,$A19,$B$8:$B$10)),AU13-SUM($B19:AT19))</f>
        <v>206.01851851851853</v>
      </c>
      <c r="AV19" s="97">
        <f>MIN(AV13*(1/SUMIF($A$8:$A$10,$A19,$B$8:$B$10)),AV13-SUM($B19:AU19))</f>
        <v>206.01851851851853</v>
      </c>
      <c r="AW19" s="97">
        <f>MIN(AW13*(1/SUMIF($A$8:$A$10,$A19,$B$8:$B$10)),AW13-SUM($B19:AV19))</f>
        <v>206.01851851851853</v>
      </c>
      <c r="AX19" s="97">
        <f>MIN(AX13*(1/SUMIF($A$8:$A$10,$A19,$B$8:$B$10)),AX13-SUM($B19:AW19))</f>
        <v>206.01851851851853</v>
      </c>
      <c r="AY19" s="97">
        <f>MIN(AY13*(1/SUMIF($A$8:$A$10,$A19,$B$8:$B$10)),AY13-SUM($B19:AX19))</f>
        <v>206.01851851851853</v>
      </c>
      <c r="AZ19" s="97">
        <f>MIN(AZ13*(1/SUMIF($A$8:$A$10,$A19,$B$8:$B$10)),AZ13-SUM($B19:AY19))</f>
        <v>206.01851851851853</v>
      </c>
      <c r="BA19" s="97">
        <f>MIN(BA13*(1/SUMIF($A$8:$A$10,$A19,$B$8:$B$10)),BA13-SUM($B19:AZ19))</f>
        <v>206.01851851851853</v>
      </c>
      <c r="BB19" s="97">
        <f>MIN(BB13*(1/SUMIF($A$8:$A$10,$A19,$B$8:$B$10)),BB13-SUM($B19:BA19))</f>
        <v>206.01851851851853</v>
      </c>
      <c r="BC19" s="97">
        <f>MIN(BC13*(1/SUMIF($A$8:$A$10,$A19,$B$8:$B$10)),BC13-SUM($B19:BB19))</f>
        <v>206.01851851851853</v>
      </c>
      <c r="BD19" s="97">
        <f>MIN(BD13*(1/SUMIF($A$8:$A$10,$A19,$B$8:$B$10)),BD13-SUM($B19:BC19))</f>
        <v>206.01851851851853</v>
      </c>
      <c r="BE19" s="97">
        <f>MIN(BE13*(1/SUMIF($A$8:$A$10,$A19,$B$8:$B$10)),BE13-SUM($B19:BD19))</f>
        <v>206.01851851851853</v>
      </c>
      <c r="BF19" s="97">
        <f>MIN(BF13*(1/SUMIF($A$8:$A$10,$A19,$B$8:$B$10)),BF13-SUM($B19:BE19))</f>
        <v>206.01851851851853</v>
      </c>
      <c r="BG19" s="97">
        <f>MIN(BG13*(1/SUMIF($A$8:$A$10,$A19,$B$8:$B$10)),BG13-SUM($B19:BF19))</f>
        <v>206.01851851851853</v>
      </c>
      <c r="BH19" s="97">
        <f>MIN(BH13*(1/SUMIF($A$8:$A$10,$A19,$B$8:$B$10)),BH13-SUM($B19:BG19))</f>
        <v>206.01851851851853</v>
      </c>
      <c r="BI19" s="97">
        <f>MIN(BI13*(1/SUMIF($A$8:$A$10,$A19,$B$8:$B$10)),BI13-SUM($B19:BH19))</f>
        <v>206.01851851851853</v>
      </c>
      <c r="BJ19" s="97">
        <f>MIN(BJ13*(1/SUMIF($A$8:$A$10,$A19,$B$8:$B$10)),BJ13-SUM($B19:BI19))</f>
        <v>206.01851851851853</v>
      </c>
      <c r="BL19" s="25">
        <f t="shared" ref="BL19:BQ22" si="20">SUMIF($C$2:$BJ$2,BL$2,$C19:$BJ19)</f>
        <v>206.01851851851853</v>
      </c>
      <c r="BM19" s="25">
        <f t="shared" si="20"/>
        <v>2472.2222222222226</v>
      </c>
      <c r="BN19" s="25">
        <f t="shared" si="20"/>
        <v>2472.2222222222226</v>
      </c>
      <c r="BO19" s="25">
        <f t="shared" si="20"/>
        <v>2472.2222222222226</v>
      </c>
      <c r="BP19" s="25">
        <f t="shared" si="20"/>
        <v>2472.2222222222226</v>
      </c>
      <c r="BQ19" s="25">
        <f t="shared" si="20"/>
        <v>1648.148148148148</v>
      </c>
    </row>
    <row r="20" spans="1:69">
      <c r="A20" s="100" t="str">
        <f t="shared" ref="A20:A21" si="21">A9</f>
        <v>Оборудование и инвентарь</v>
      </c>
      <c r="B20" s="44"/>
      <c r="C20" s="97">
        <f>MIN(C14*(1/SUMIF($A$8:$A$10,$A20,$B$8:$B$10)),C14-SUM($B20:B20))</f>
        <v>0</v>
      </c>
      <c r="D20" s="97">
        <f>MIN(D14*(1/SUMIF($A$8:$A$10,$A20,$B$8:$B$10)),D14-SUM($B20:C20))</f>
        <v>0</v>
      </c>
      <c r="E20" s="97">
        <f>MIN(E14*(1/SUMIF($A$8:$A$10,$A20,$B$8:$B$10)),E14-SUM($B20:D20))</f>
        <v>0</v>
      </c>
      <c r="F20" s="97">
        <f>MIN(F14*(1/SUMIF($A$8:$A$10,$A20,$B$8:$B$10)),F14-SUM($B20:E20))</f>
        <v>528.2874305555556</v>
      </c>
      <c r="G20" s="97">
        <f>MIN(G14*(1/SUMIF($A$8:$A$10,$A20,$B$8:$B$10)),G14-SUM($B20:F20))</f>
        <v>528.2874305555556</v>
      </c>
      <c r="H20" s="97">
        <f>MIN(H14*(1/SUMIF($A$8:$A$10,$A20,$B$8:$B$10)),H14-SUM($B20:G20))</f>
        <v>528.2874305555556</v>
      </c>
      <c r="I20" s="97">
        <f>MIN(I14*(1/SUMIF($A$8:$A$10,$A20,$B$8:$B$10)),I14-SUM($B20:H20))</f>
        <v>528.2874305555556</v>
      </c>
      <c r="J20" s="97">
        <f>MIN(J14*(1/SUMIF($A$8:$A$10,$A20,$B$8:$B$10)),J14-SUM($B20:I20))</f>
        <v>528.2874305555556</v>
      </c>
      <c r="K20" s="97">
        <f>MIN(K14*(1/SUMIF($A$8:$A$10,$A20,$B$8:$B$10)),K14-SUM($B20:J20))</f>
        <v>528.2874305555556</v>
      </c>
      <c r="L20" s="97">
        <f>MIN(L14*(1/SUMIF($A$8:$A$10,$A20,$B$8:$B$10)),L14-SUM($B20:K20))</f>
        <v>528.2874305555556</v>
      </c>
      <c r="M20" s="97">
        <f>MIN(M14*(1/SUMIF($A$8:$A$10,$A20,$B$8:$B$10)),M14-SUM($B20:L20))</f>
        <v>528.2874305555556</v>
      </c>
      <c r="N20" s="97">
        <f>MIN(N14*(1/SUMIF($A$8:$A$10,$A20,$B$8:$B$10)),N14-SUM($B20:M20))</f>
        <v>528.2874305555556</v>
      </c>
      <c r="O20" s="97">
        <f>MIN(O14*(1/SUMIF($A$8:$A$10,$A20,$B$8:$B$10)),O14-SUM($B20:N20))</f>
        <v>528.2874305555556</v>
      </c>
      <c r="P20" s="97">
        <f>MIN(P14*(1/SUMIF($A$8:$A$10,$A20,$B$8:$B$10)),P14-SUM($B20:O20))</f>
        <v>528.2874305555556</v>
      </c>
      <c r="Q20" s="97">
        <f>MIN(Q14*(1/SUMIF($A$8:$A$10,$A20,$B$8:$B$10)),Q14-SUM($B20:P20))</f>
        <v>528.2874305555556</v>
      </c>
      <c r="R20" s="97">
        <f>MIN(R14*(1/SUMIF($A$8:$A$10,$A20,$B$8:$B$10)),R14-SUM($B20:Q20))</f>
        <v>528.2874305555556</v>
      </c>
      <c r="S20" s="97">
        <f>MIN(S14*(1/SUMIF($A$8:$A$10,$A20,$B$8:$B$10)),S14-SUM($B20:R20))</f>
        <v>528.2874305555556</v>
      </c>
      <c r="T20" s="97">
        <f>MIN(T14*(1/SUMIF($A$8:$A$10,$A20,$B$8:$B$10)),T14-SUM($B20:S20))</f>
        <v>528.2874305555556</v>
      </c>
      <c r="U20" s="97">
        <f>MIN(U14*(1/SUMIF($A$8:$A$10,$A20,$B$8:$B$10)),U14-SUM($B20:T20))</f>
        <v>528.2874305555556</v>
      </c>
      <c r="V20" s="97">
        <f>MIN(V14*(1/SUMIF($A$8:$A$10,$A20,$B$8:$B$10)),V14-SUM($B20:U20))</f>
        <v>528.2874305555556</v>
      </c>
      <c r="W20" s="97">
        <f>MIN(W14*(1/SUMIF($A$8:$A$10,$A20,$B$8:$B$10)),W14-SUM($B20:V20))</f>
        <v>528.2874305555556</v>
      </c>
      <c r="X20" s="97">
        <f>MIN(X14*(1/SUMIF($A$8:$A$10,$A20,$B$8:$B$10)),X14-SUM($B20:W20))</f>
        <v>528.2874305555556</v>
      </c>
      <c r="Y20" s="97">
        <f>MIN(Y14*(1/SUMIF($A$8:$A$10,$A20,$B$8:$B$10)),Y14-SUM($B20:X20))</f>
        <v>528.2874305555556</v>
      </c>
      <c r="Z20" s="97">
        <f>MIN(Z14*(1/SUMIF($A$8:$A$10,$A20,$B$8:$B$10)),Z14-SUM($B20:Y20))</f>
        <v>528.2874305555556</v>
      </c>
      <c r="AA20" s="97">
        <f>MIN(AA14*(1/SUMIF($A$8:$A$10,$A20,$B$8:$B$10)),AA14-SUM($B20:Z20))</f>
        <v>528.2874305555556</v>
      </c>
      <c r="AB20" s="97">
        <f>MIN(AB14*(1/SUMIF($A$8:$A$10,$A20,$B$8:$B$10)),AB14-SUM($B20:AA20))</f>
        <v>528.2874305555556</v>
      </c>
      <c r="AC20" s="97">
        <f>MIN(AC14*(1/SUMIF($A$8:$A$10,$A20,$B$8:$B$10)),AC14-SUM($B20:AB20))</f>
        <v>528.2874305555556</v>
      </c>
      <c r="AD20" s="97">
        <f>MIN(AD14*(1/SUMIF($A$8:$A$10,$A20,$B$8:$B$10)),AD14-SUM($B20:AC20))</f>
        <v>528.2874305555556</v>
      </c>
      <c r="AE20" s="97">
        <f>MIN(AE14*(1/SUMIF($A$8:$A$10,$A20,$B$8:$B$10)),AE14-SUM($B20:AD20))</f>
        <v>528.2874305555556</v>
      </c>
      <c r="AF20" s="97">
        <f>MIN(AF14*(1/SUMIF($A$8:$A$10,$A20,$B$8:$B$10)),AF14-SUM($B20:AE20))</f>
        <v>528.2874305555556</v>
      </c>
      <c r="AG20" s="97">
        <f>MIN(AG14*(1/SUMIF($A$8:$A$10,$A20,$B$8:$B$10)),AG14-SUM($B20:AF20))</f>
        <v>528.2874305555556</v>
      </c>
      <c r="AH20" s="97">
        <f>MIN(AH14*(1/SUMIF($A$8:$A$10,$A20,$B$8:$B$10)),AH14-SUM($B20:AG20))</f>
        <v>528.2874305555556</v>
      </c>
      <c r="AI20" s="97">
        <f>MIN(AI14*(1/SUMIF($A$8:$A$10,$A20,$B$8:$B$10)),AI14-SUM($B20:AH20))</f>
        <v>528.2874305555556</v>
      </c>
      <c r="AJ20" s="97">
        <f>MIN(AJ14*(1/SUMIF($A$8:$A$10,$A20,$B$8:$B$10)),AJ14-SUM($B20:AI20))</f>
        <v>528.2874305555556</v>
      </c>
      <c r="AK20" s="97">
        <f>MIN(AK14*(1/SUMIF($A$8:$A$10,$A20,$B$8:$B$10)),AK14-SUM($B20:AJ20))</f>
        <v>528.2874305555556</v>
      </c>
      <c r="AL20" s="97">
        <f>MIN(AL14*(1/SUMIF($A$8:$A$10,$A20,$B$8:$B$10)),AL14-SUM($B20:AK20))</f>
        <v>528.2874305555556</v>
      </c>
      <c r="AM20" s="97">
        <f>MIN(AM14*(1/SUMIF($A$8:$A$10,$A20,$B$8:$B$10)),AM14-SUM($B20:AL20))</f>
        <v>528.2874305555556</v>
      </c>
      <c r="AN20" s="97">
        <f>MIN(AN14*(1/SUMIF($A$8:$A$10,$A20,$B$8:$B$10)),AN14-SUM($B20:AM20))</f>
        <v>528.2874305555556</v>
      </c>
      <c r="AO20" s="97">
        <f>MIN(AO14*(1/SUMIF($A$8:$A$10,$A20,$B$8:$B$10)),AO14-SUM($B20:AN20))</f>
        <v>528.2874305555556</v>
      </c>
      <c r="AP20" s="97">
        <f>MIN(AP14*(1/SUMIF($A$8:$A$10,$A20,$B$8:$B$10)),AP14-SUM($B20:AO20))</f>
        <v>528.2874305555556</v>
      </c>
      <c r="AQ20" s="97">
        <f>MIN(AQ14*(1/SUMIF($A$8:$A$10,$A20,$B$8:$B$10)),AQ14-SUM($B20:AP20))</f>
        <v>528.2874305555556</v>
      </c>
      <c r="AR20" s="97">
        <f>MIN(AR14*(1/SUMIF($A$8:$A$10,$A20,$B$8:$B$10)),AR14-SUM($B20:AQ20))</f>
        <v>528.2874305555556</v>
      </c>
      <c r="AS20" s="97">
        <f>MIN(AS14*(1/SUMIF($A$8:$A$10,$A20,$B$8:$B$10)),AS14-SUM($B20:AR20))</f>
        <v>528.2874305555556</v>
      </c>
      <c r="AT20" s="97">
        <f>MIN(AT14*(1/SUMIF($A$8:$A$10,$A20,$B$8:$B$10)),AT14-SUM($B20:AS20))</f>
        <v>528.2874305555556</v>
      </c>
      <c r="AU20" s="97">
        <f>MIN(AU14*(1/SUMIF($A$8:$A$10,$A20,$B$8:$B$10)),AU14-SUM($B20:AT20))</f>
        <v>528.2874305555556</v>
      </c>
      <c r="AV20" s="97">
        <f>MIN(AV14*(1/SUMIF($A$8:$A$10,$A20,$B$8:$B$10)),AV14-SUM($B20:AU20))</f>
        <v>528.2874305555556</v>
      </c>
      <c r="AW20" s="97">
        <f>MIN(AW14*(1/SUMIF($A$8:$A$10,$A20,$B$8:$B$10)),AW14-SUM($B20:AV20))</f>
        <v>528.2874305555556</v>
      </c>
      <c r="AX20" s="97">
        <f>MIN(AX14*(1/SUMIF($A$8:$A$10,$A20,$B$8:$B$10)),AX14-SUM($B20:AW20))</f>
        <v>528.2874305555556</v>
      </c>
      <c r="AY20" s="97">
        <f>MIN(AY14*(1/SUMIF($A$8:$A$10,$A20,$B$8:$B$10)),AY14-SUM($B20:AX20))</f>
        <v>528.2874305555556</v>
      </c>
      <c r="AZ20" s="97">
        <f>MIN(AZ14*(1/SUMIF($A$8:$A$10,$A20,$B$8:$B$10)),AZ14-SUM($B20:AY20))</f>
        <v>528.2874305555556</v>
      </c>
      <c r="BA20" s="97">
        <f>MIN(BA14*(1/SUMIF($A$8:$A$10,$A20,$B$8:$B$10)),BA14-SUM($B20:AZ20))</f>
        <v>528.2874305555556</v>
      </c>
      <c r="BB20" s="97">
        <f>MIN(BB14*(1/SUMIF($A$8:$A$10,$A20,$B$8:$B$10)),BB14-SUM($B20:BA20))</f>
        <v>528.2874305555556</v>
      </c>
      <c r="BC20" s="97">
        <f>MIN(BC14*(1/SUMIF($A$8:$A$10,$A20,$B$8:$B$10)),BC14-SUM($B20:BB20))</f>
        <v>528.2874305555556</v>
      </c>
      <c r="BD20" s="97">
        <f>MIN(BD14*(1/SUMIF($A$8:$A$10,$A20,$B$8:$B$10)),BD14-SUM($B20:BC20))</f>
        <v>528.2874305555556</v>
      </c>
      <c r="BE20" s="97">
        <f>MIN(BE14*(1/SUMIF($A$8:$A$10,$A20,$B$8:$B$10)),BE14-SUM($B20:BD20))</f>
        <v>528.2874305555556</v>
      </c>
      <c r="BF20" s="97">
        <f>MIN(BF14*(1/SUMIF($A$8:$A$10,$A20,$B$8:$B$10)),BF14-SUM($B20:BE20))</f>
        <v>528.2874305555556</v>
      </c>
      <c r="BG20" s="97">
        <f>MIN(BG14*(1/SUMIF($A$8:$A$10,$A20,$B$8:$B$10)),BG14-SUM($B20:BF20))</f>
        <v>528.2874305555556</v>
      </c>
      <c r="BH20" s="97">
        <f>MIN(BH14*(1/SUMIF($A$8:$A$10,$A20,$B$8:$B$10)),BH14-SUM($B20:BG20))</f>
        <v>528.2874305555556</v>
      </c>
      <c r="BI20" s="97">
        <f>MIN(BI14*(1/SUMIF($A$8:$A$10,$A20,$B$8:$B$10)),BI14-SUM($B20:BH20))</f>
        <v>528.2874305555556</v>
      </c>
      <c r="BJ20" s="97">
        <f>MIN(BJ14*(1/SUMIF($A$8:$A$10,$A20,$B$8:$B$10)),BJ14-SUM($B20:BI20))</f>
        <v>528.2874305555556</v>
      </c>
      <c r="BL20" s="25">
        <f t="shared" si="20"/>
        <v>528.2874305555556</v>
      </c>
      <c r="BM20" s="25">
        <f t="shared" si="20"/>
        <v>6339.449166666669</v>
      </c>
      <c r="BN20" s="25">
        <f t="shared" si="20"/>
        <v>6339.449166666669</v>
      </c>
      <c r="BO20" s="25">
        <f t="shared" si="20"/>
        <v>6339.449166666669</v>
      </c>
      <c r="BP20" s="25">
        <f t="shared" si="20"/>
        <v>6339.449166666669</v>
      </c>
      <c r="BQ20" s="25">
        <f t="shared" si="20"/>
        <v>4226.2994444444448</v>
      </c>
    </row>
    <row r="21" spans="1:69">
      <c r="A21" s="100" t="str">
        <f t="shared" si="21"/>
        <v>Прочие подготовительные расходы</v>
      </c>
      <c r="B21" s="44"/>
      <c r="C21" s="97">
        <f>MIN(C15*(1/SUMIF($A$8:$A$10,$A21,$B$8:$B$10)),C15-SUM($B21:B21))</f>
        <v>0</v>
      </c>
      <c r="D21" s="97">
        <f>MIN(D15*(1/SUMIF($A$8:$A$10,$A21,$B$8:$B$10)),D15-SUM($B21:C21))</f>
        <v>0</v>
      </c>
      <c r="E21" s="97">
        <f>MIN(E15*(1/SUMIF($A$8:$A$10,$A21,$B$8:$B$10)),E15-SUM($B21:D21))</f>
        <v>0</v>
      </c>
      <c r="F21" s="97">
        <f>MIN(F15*(1/SUMIF($A$8:$A$10,$A21,$B$8:$B$10)),F15-SUM($B21:E21))</f>
        <v>36.736111111111114</v>
      </c>
      <c r="G21" s="97">
        <f>MIN(G15*(1/SUMIF($A$8:$A$10,$A21,$B$8:$B$10)),G15-SUM($B21:F21))</f>
        <v>36.736111111111114</v>
      </c>
      <c r="H21" s="97">
        <f>MIN(H15*(1/SUMIF($A$8:$A$10,$A21,$B$8:$B$10)),H15-SUM($B21:G21))</f>
        <v>36.736111111111114</v>
      </c>
      <c r="I21" s="97">
        <f>MIN(I15*(1/SUMIF($A$8:$A$10,$A21,$B$8:$B$10)),I15-SUM($B21:H21))</f>
        <v>36.736111111111114</v>
      </c>
      <c r="J21" s="97">
        <f>MIN(J15*(1/SUMIF($A$8:$A$10,$A21,$B$8:$B$10)),J15-SUM($B21:I21))</f>
        <v>36.736111111111114</v>
      </c>
      <c r="K21" s="97">
        <f>MIN(K15*(1/SUMIF($A$8:$A$10,$A21,$B$8:$B$10)),K15-SUM($B21:J21))</f>
        <v>36.736111111111114</v>
      </c>
      <c r="L21" s="97">
        <f>MIN(L15*(1/SUMIF($A$8:$A$10,$A21,$B$8:$B$10)),L15-SUM($B21:K21))</f>
        <v>36.736111111111114</v>
      </c>
      <c r="M21" s="97">
        <f>MIN(M15*(1/SUMIF($A$8:$A$10,$A21,$B$8:$B$10)),M15-SUM($B21:L21))</f>
        <v>36.736111111111114</v>
      </c>
      <c r="N21" s="97">
        <f>MIN(N15*(1/SUMIF($A$8:$A$10,$A21,$B$8:$B$10)),N15-SUM($B21:M21))</f>
        <v>36.736111111111114</v>
      </c>
      <c r="O21" s="97">
        <f>MIN(O15*(1/SUMIF($A$8:$A$10,$A21,$B$8:$B$10)),O15-SUM($B21:N21))</f>
        <v>36.736111111111114</v>
      </c>
      <c r="P21" s="97">
        <f>MIN(P15*(1/SUMIF($A$8:$A$10,$A21,$B$8:$B$10)),P15-SUM($B21:O21))</f>
        <v>36.736111111111114</v>
      </c>
      <c r="Q21" s="97">
        <f>MIN(Q15*(1/SUMIF($A$8:$A$10,$A21,$B$8:$B$10)),Q15-SUM($B21:P21))</f>
        <v>36.736111111111114</v>
      </c>
      <c r="R21" s="97">
        <f>MIN(R15*(1/SUMIF($A$8:$A$10,$A21,$B$8:$B$10)),R15-SUM($B21:Q21))</f>
        <v>36.736111111111114</v>
      </c>
      <c r="S21" s="97">
        <f>MIN(S15*(1/SUMIF($A$8:$A$10,$A21,$B$8:$B$10)),S15-SUM($B21:R21))</f>
        <v>36.736111111111114</v>
      </c>
      <c r="T21" s="97">
        <f>MIN(T15*(1/SUMIF($A$8:$A$10,$A21,$B$8:$B$10)),T15-SUM($B21:S21))</f>
        <v>36.736111111111114</v>
      </c>
      <c r="U21" s="97">
        <f>MIN(U15*(1/SUMIF($A$8:$A$10,$A21,$B$8:$B$10)),U15-SUM($B21:T21))</f>
        <v>36.736111111111114</v>
      </c>
      <c r="V21" s="97">
        <f>MIN(V15*(1/SUMIF($A$8:$A$10,$A21,$B$8:$B$10)),V15-SUM($B21:U21))</f>
        <v>36.736111111111114</v>
      </c>
      <c r="W21" s="97">
        <f>MIN(W15*(1/SUMIF($A$8:$A$10,$A21,$B$8:$B$10)),W15-SUM($B21:V21))</f>
        <v>36.736111111111114</v>
      </c>
      <c r="X21" s="97">
        <f>MIN(X15*(1/SUMIF($A$8:$A$10,$A21,$B$8:$B$10)),X15-SUM($B21:W21))</f>
        <v>36.736111111111114</v>
      </c>
      <c r="Y21" s="97">
        <f>MIN(Y15*(1/SUMIF($A$8:$A$10,$A21,$B$8:$B$10)),Y15-SUM($B21:X21))</f>
        <v>36.736111111111114</v>
      </c>
      <c r="Z21" s="97">
        <f>MIN(Z15*(1/SUMIF($A$8:$A$10,$A21,$B$8:$B$10)),Z15-SUM($B21:Y21))</f>
        <v>36.736111111111114</v>
      </c>
      <c r="AA21" s="97">
        <f>MIN(AA15*(1/SUMIF($A$8:$A$10,$A21,$B$8:$B$10)),AA15-SUM($B21:Z21))</f>
        <v>36.736111111111114</v>
      </c>
      <c r="AB21" s="97">
        <f>MIN(AB15*(1/SUMIF($A$8:$A$10,$A21,$B$8:$B$10)),AB15-SUM($B21:AA21))</f>
        <v>36.736111111111114</v>
      </c>
      <c r="AC21" s="97">
        <f>MIN(AC15*(1/SUMIF($A$8:$A$10,$A21,$B$8:$B$10)),AC15-SUM($B21:AB21))</f>
        <v>36.736111111111114</v>
      </c>
      <c r="AD21" s="97">
        <f>MIN(AD15*(1/SUMIF($A$8:$A$10,$A21,$B$8:$B$10)),AD15-SUM($B21:AC21))</f>
        <v>36.736111111111114</v>
      </c>
      <c r="AE21" s="97">
        <f>MIN(AE15*(1/SUMIF($A$8:$A$10,$A21,$B$8:$B$10)),AE15-SUM($B21:AD21))</f>
        <v>36.736111111111114</v>
      </c>
      <c r="AF21" s="97">
        <f>MIN(AF15*(1/SUMIF($A$8:$A$10,$A21,$B$8:$B$10)),AF15-SUM($B21:AE21))</f>
        <v>36.736111111111114</v>
      </c>
      <c r="AG21" s="97">
        <f>MIN(AG15*(1/SUMIF($A$8:$A$10,$A21,$B$8:$B$10)),AG15-SUM($B21:AF21))</f>
        <v>36.736111111111114</v>
      </c>
      <c r="AH21" s="97">
        <f>MIN(AH15*(1/SUMIF($A$8:$A$10,$A21,$B$8:$B$10)),AH15-SUM($B21:AG21))</f>
        <v>36.736111111111114</v>
      </c>
      <c r="AI21" s="97">
        <f>MIN(AI15*(1/SUMIF($A$8:$A$10,$A21,$B$8:$B$10)),AI15-SUM($B21:AH21))</f>
        <v>36.736111111111114</v>
      </c>
      <c r="AJ21" s="97">
        <f>MIN(AJ15*(1/SUMIF($A$8:$A$10,$A21,$B$8:$B$10)),AJ15-SUM($B21:AI21))</f>
        <v>36.736111111111114</v>
      </c>
      <c r="AK21" s="97">
        <f>MIN(AK15*(1/SUMIF($A$8:$A$10,$A21,$B$8:$B$10)),AK15-SUM($B21:AJ21))</f>
        <v>36.736111111111114</v>
      </c>
      <c r="AL21" s="97">
        <f>MIN(AL15*(1/SUMIF($A$8:$A$10,$A21,$B$8:$B$10)),AL15-SUM($B21:AK21))</f>
        <v>36.736111111111114</v>
      </c>
      <c r="AM21" s="97">
        <f>MIN(AM15*(1/SUMIF($A$8:$A$10,$A21,$B$8:$B$10)),AM15-SUM($B21:AL21))</f>
        <v>36.736111111111114</v>
      </c>
      <c r="AN21" s="97">
        <f>MIN(AN15*(1/SUMIF($A$8:$A$10,$A21,$B$8:$B$10)),AN15-SUM($B21:AM21))</f>
        <v>36.736111111111114</v>
      </c>
      <c r="AO21" s="97">
        <f>MIN(AO15*(1/SUMIF($A$8:$A$10,$A21,$B$8:$B$10)),AO15-SUM($B21:AN21))</f>
        <v>36.736111111111114</v>
      </c>
      <c r="AP21" s="97">
        <f>MIN(AP15*(1/SUMIF($A$8:$A$10,$A21,$B$8:$B$10)),AP15-SUM($B21:AO21))</f>
        <v>36.736111111111114</v>
      </c>
      <c r="AQ21" s="97">
        <f>MIN(AQ15*(1/SUMIF($A$8:$A$10,$A21,$B$8:$B$10)),AQ15-SUM($B21:AP21))</f>
        <v>36.736111111111114</v>
      </c>
      <c r="AR21" s="97">
        <f>MIN(AR15*(1/SUMIF($A$8:$A$10,$A21,$B$8:$B$10)),AR15-SUM($B21:AQ21))</f>
        <v>36.736111111111114</v>
      </c>
      <c r="AS21" s="97">
        <f>MIN(AS15*(1/SUMIF($A$8:$A$10,$A21,$B$8:$B$10)),AS15-SUM($B21:AR21))</f>
        <v>36.736111111111114</v>
      </c>
      <c r="AT21" s="97">
        <f>MIN(AT15*(1/SUMIF($A$8:$A$10,$A21,$B$8:$B$10)),AT15-SUM($B21:AS21))</f>
        <v>36.736111111111114</v>
      </c>
      <c r="AU21" s="97">
        <f>MIN(AU15*(1/SUMIF($A$8:$A$10,$A21,$B$8:$B$10)),AU15-SUM($B21:AT21))</f>
        <v>36.736111111111114</v>
      </c>
      <c r="AV21" s="97">
        <f>MIN(AV15*(1/SUMIF($A$8:$A$10,$A21,$B$8:$B$10)),AV15-SUM($B21:AU21))</f>
        <v>36.736111111111114</v>
      </c>
      <c r="AW21" s="97">
        <f>MIN(AW15*(1/SUMIF($A$8:$A$10,$A21,$B$8:$B$10)),AW15-SUM($B21:AV21))</f>
        <v>36.736111111111114</v>
      </c>
      <c r="AX21" s="97">
        <f>MIN(AX15*(1/SUMIF($A$8:$A$10,$A21,$B$8:$B$10)),AX15-SUM($B21:AW21))</f>
        <v>36.736111111111114</v>
      </c>
      <c r="AY21" s="97">
        <f>MIN(AY15*(1/SUMIF($A$8:$A$10,$A21,$B$8:$B$10)),AY15-SUM($B21:AX21))</f>
        <v>36.736111111111114</v>
      </c>
      <c r="AZ21" s="97">
        <f>MIN(AZ15*(1/SUMIF($A$8:$A$10,$A21,$B$8:$B$10)),AZ15-SUM($B21:AY21))</f>
        <v>36.736111111111114</v>
      </c>
      <c r="BA21" s="97">
        <f>MIN(BA15*(1/SUMIF($A$8:$A$10,$A21,$B$8:$B$10)),BA15-SUM($B21:AZ21))</f>
        <v>36.736111111111114</v>
      </c>
      <c r="BB21" s="97">
        <f>MIN(BB15*(1/SUMIF($A$8:$A$10,$A21,$B$8:$B$10)),BB15-SUM($B21:BA21))</f>
        <v>36.736111111111114</v>
      </c>
      <c r="BC21" s="97">
        <f>MIN(BC15*(1/SUMIF($A$8:$A$10,$A21,$B$8:$B$10)),BC15-SUM($B21:BB21))</f>
        <v>36.736111111111114</v>
      </c>
      <c r="BD21" s="97">
        <f>MIN(BD15*(1/SUMIF($A$8:$A$10,$A21,$B$8:$B$10)),BD15-SUM($B21:BC21))</f>
        <v>36.736111111111114</v>
      </c>
      <c r="BE21" s="97">
        <f>MIN(BE15*(1/SUMIF($A$8:$A$10,$A21,$B$8:$B$10)),BE15-SUM($B21:BD21))</f>
        <v>36.736111111111114</v>
      </c>
      <c r="BF21" s="97">
        <f>MIN(BF15*(1/SUMIF($A$8:$A$10,$A21,$B$8:$B$10)),BF15-SUM($B21:BE21))</f>
        <v>36.736111111111114</v>
      </c>
      <c r="BG21" s="97">
        <f>MIN(BG15*(1/SUMIF($A$8:$A$10,$A21,$B$8:$B$10)),BG15-SUM($B21:BF21))</f>
        <v>36.736111111111114</v>
      </c>
      <c r="BH21" s="97">
        <f>MIN(BH15*(1/SUMIF($A$8:$A$10,$A21,$B$8:$B$10)),BH15-SUM($B21:BG21))</f>
        <v>36.736111111111114</v>
      </c>
      <c r="BI21" s="97">
        <f>MIN(BI15*(1/SUMIF($A$8:$A$10,$A21,$B$8:$B$10)),BI15-SUM($B21:BH21))</f>
        <v>36.736111111111114</v>
      </c>
      <c r="BJ21" s="97">
        <f>MIN(BJ15*(1/SUMIF($A$8:$A$10,$A21,$B$8:$B$10)),BJ15-SUM($B21:BI21))</f>
        <v>36.736111111111114</v>
      </c>
      <c r="BL21" s="25">
        <f t="shared" si="20"/>
        <v>36.736111111111114</v>
      </c>
      <c r="BM21" s="25">
        <f t="shared" si="20"/>
        <v>440.83333333333326</v>
      </c>
      <c r="BN21" s="25">
        <f t="shared" si="20"/>
        <v>440.83333333333326</v>
      </c>
      <c r="BO21" s="25">
        <f t="shared" si="20"/>
        <v>440.83333333333326</v>
      </c>
      <c r="BP21" s="25">
        <f t="shared" si="20"/>
        <v>440.83333333333326</v>
      </c>
      <c r="BQ21" s="25">
        <f t="shared" si="20"/>
        <v>293.88888888888891</v>
      </c>
    </row>
    <row r="22" spans="1:69">
      <c r="A22" s="34" t="s">
        <v>11</v>
      </c>
      <c r="B22" s="22"/>
      <c r="C22" s="98">
        <f>SUM(C19:C21)</f>
        <v>0</v>
      </c>
      <c r="D22" s="98">
        <f t="shared" ref="D22:BJ22" si="22">SUM(D19:D21)</f>
        <v>0</v>
      </c>
      <c r="E22" s="98">
        <f t="shared" si="22"/>
        <v>0</v>
      </c>
      <c r="F22" s="98">
        <f t="shared" si="22"/>
        <v>771.04206018518516</v>
      </c>
      <c r="G22" s="98">
        <f t="shared" si="22"/>
        <v>771.04206018518516</v>
      </c>
      <c r="H22" s="98">
        <f t="shared" si="22"/>
        <v>771.04206018518516</v>
      </c>
      <c r="I22" s="98">
        <f t="shared" si="22"/>
        <v>771.04206018518516</v>
      </c>
      <c r="J22" s="98">
        <f t="shared" si="22"/>
        <v>771.04206018518516</v>
      </c>
      <c r="K22" s="98">
        <f t="shared" si="22"/>
        <v>771.04206018518516</v>
      </c>
      <c r="L22" s="98">
        <f t="shared" si="22"/>
        <v>771.04206018518516</v>
      </c>
      <c r="M22" s="98">
        <f t="shared" si="22"/>
        <v>771.04206018518516</v>
      </c>
      <c r="N22" s="98">
        <f t="shared" si="22"/>
        <v>771.04206018518516</v>
      </c>
      <c r="O22" s="98">
        <f t="shared" si="22"/>
        <v>771.04206018518516</v>
      </c>
      <c r="P22" s="98">
        <f t="shared" si="22"/>
        <v>771.04206018518516</v>
      </c>
      <c r="Q22" s="98">
        <f t="shared" si="22"/>
        <v>771.04206018518516</v>
      </c>
      <c r="R22" s="98">
        <f t="shared" si="22"/>
        <v>771.04206018518516</v>
      </c>
      <c r="S22" s="98">
        <f t="shared" si="22"/>
        <v>771.04206018518516</v>
      </c>
      <c r="T22" s="98">
        <f t="shared" si="22"/>
        <v>771.04206018518516</v>
      </c>
      <c r="U22" s="98">
        <f t="shared" si="22"/>
        <v>771.04206018518516</v>
      </c>
      <c r="V22" s="98">
        <f t="shared" si="22"/>
        <v>771.04206018518516</v>
      </c>
      <c r="W22" s="98">
        <f t="shared" si="22"/>
        <v>771.04206018518516</v>
      </c>
      <c r="X22" s="98">
        <f t="shared" si="22"/>
        <v>771.04206018518516</v>
      </c>
      <c r="Y22" s="98">
        <f t="shared" si="22"/>
        <v>771.04206018518516</v>
      </c>
      <c r="Z22" s="98">
        <f t="shared" si="22"/>
        <v>771.04206018518516</v>
      </c>
      <c r="AA22" s="98">
        <f t="shared" si="22"/>
        <v>771.04206018518516</v>
      </c>
      <c r="AB22" s="98">
        <f t="shared" si="22"/>
        <v>771.04206018518516</v>
      </c>
      <c r="AC22" s="98">
        <f t="shared" si="22"/>
        <v>771.04206018518516</v>
      </c>
      <c r="AD22" s="98">
        <f t="shared" si="22"/>
        <v>771.04206018518516</v>
      </c>
      <c r="AE22" s="98">
        <f t="shared" si="22"/>
        <v>771.04206018518516</v>
      </c>
      <c r="AF22" s="98">
        <f t="shared" si="22"/>
        <v>771.04206018518516</v>
      </c>
      <c r="AG22" s="98">
        <f t="shared" si="22"/>
        <v>771.04206018518516</v>
      </c>
      <c r="AH22" s="98">
        <f t="shared" si="22"/>
        <v>771.04206018518516</v>
      </c>
      <c r="AI22" s="98">
        <f t="shared" si="22"/>
        <v>771.04206018518516</v>
      </c>
      <c r="AJ22" s="98">
        <f t="shared" si="22"/>
        <v>771.04206018518516</v>
      </c>
      <c r="AK22" s="98">
        <f t="shared" si="22"/>
        <v>771.04206018518516</v>
      </c>
      <c r="AL22" s="98">
        <f t="shared" si="22"/>
        <v>771.04206018518516</v>
      </c>
      <c r="AM22" s="98">
        <f t="shared" si="22"/>
        <v>771.04206018518516</v>
      </c>
      <c r="AN22" s="98">
        <f t="shared" si="22"/>
        <v>771.04206018518516</v>
      </c>
      <c r="AO22" s="98">
        <f t="shared" si="22"/>
        <v>771.04206018518516</v>
      </c>
      <c r="AP22" s="98">
        <f t="shared" si="22"/>
        <v>771.04206018518516</v>
      </c>
      <c r="AQ22" s="98">
        <f t="shared" si="22"/>
        <v>771.04206018518516</v>
      </c>
      <c r="AR22" s="98">
        <f t="shared" si="22"/>
        <v>771.04206018518516</v>
      </c>
      <c r="AS22" s="98">
        <f t="shared" si="22"/>
        <v>771.04206018518516</v>
      </c>
      <c r="AT22" s="98">
        <f t="shared" si="22"/>
        <v>771.04206018518516</v>
      </c>
      <c r="AU22" s="98">
        <f t="shared" si="22"/>
        <v>771.04206018518516</v>
      </c>
      <c r="AV22" s="98">
        <f t="shared" si="22"/>
        <v>771.04206018518516</v>
      </c>
      <c r="AW22" s="98">
        <f t="shared" si="22"/>
        <v>771.04206018518516</v>
      </c>
      <c r="AX22" s="98">
        <f t="shared" si="22"/>
        <v>771.04206018518516</v>
      </c>
      <c r="AY22" s="98">
        <f t="shared" si="22"/>
        <v>771.04206018518516</v>
      </c>
      <c r="AZ22" s="98">
        <f t="shared" si="22"/>
        <v>771.04206018518516</v>
      </c>
      <c r="BA22" s="98">
        <f t="shared" si="22"/>
        <v>771.04206018518516</v>
      </c>
      <c r="BB22" s="98">
        <f t="shared" si="22"/>
        <v>771.04206018518516</v>
      </c>
      <c r="BC22" s="98">
        <f t="shared" si="22"/>
        <v>771.04206018518516</v>
      </c>
      <c r="BD22" s="98">
        <f t="shared" si="22"/>
        <v>771.04206018518516</v>
      </c>
      <c r="BE22" s="98">
        <f t="shared" si="22"/>
        <v>771.04206018518516</v>
      </c>
      <c r="BF22" s="98">
        <f t="shared" si="22"/>
        <v>771.04206018518516</v>
      </c>
      <c r="BG22" s="98">
        <f t="shared" si="22"/>
        <v>771.04206018518516</v>
      </c>
      <c r="BH22" s="98">
        <f t="shared" si="22"/>
        <v>771.04206018518516</v>
      </c>
      <c r="BI22" s="98">
        <f t="shared" si="22"/>
        <v>771.04206018518516</v>
      </c>
      <c r="BJ22" s="98">
        <f t="shared" si="22"/>
        <v>771.04206018518516</v>
      </c>
      <c r="BL22" s="24">
        <f t="shared" si="20"/>
        <v>771.04206018518516</v>
      </c>
      <c r="BM22" s="24">
        <f t="shared" si="20"/>
        <v>9252.5047222222238</v>
      </c>
      <c r="BN22" s="24">
        <f t="shared" si="20"/>
        <v>9252.5047222222238</v>
      </c>
      <c r="BO22" s="24">
        <f t="shared" si="20"/>
        <v>9252.5047222222238</v>
      </c>
      <c r="BP22" s="24">
        <f t="shared" si="20"/>
        <v>9252.5047222222238</v>
      </c>
      <c r="BQ22" s="24">
        <f t="shared" si="20"/>
        <v>6168.3364814814813</v>
      </c>
    </row>
    <row r="24" spans="1:69">
      <c r="A24" s="18" t="s">
        <v>266</v>
      </c>
    </row>
    <row r="25" spans="1:69">
      <c r="A25" s="100" t="str">
        <f>A8</f>
        <v>Здания и сооружения</v>
      </c>
      <c r="B25" s="31"/>
      <c r="C25" s="97">
        <f>C13-SUM($B19:C19)</f>
        <v>0</v>
      </c>
      <c r="D25" s="97">
        <f>D13-SUM($B19:D19)</f>
        <v>0</v>
      </c>
      <c r="E25" s="97">
        <f>E13-SUM($B19:E19)</f>
        <v>0</v>
      </c>
      <c r="F25" s="97">
        <f>F13-SUM($B19:F19)</f>
        <v>73960.648148148146</v>
      </c>
      <c r="G25" s="97">
        <f>G13-SUM($B19:G19)</f>
        <v>73754.629629629635</v>
      </c>
      <c r="H25" s="97">
        <f>H13-SUM($B19:H19)</f>
        <v>73548.611111111109</v>
      </c>
      <c r="I25" s="97">
        <f>I13-SUM($B19:I19)</f>
        <v>73342.592592592599</v>
      </c>
      <c r="J25" s="97">
        <f>J13-SUM($B19:J19)</f>
        <v>73136.574074074073</v>
      </c>
      <c r="K25" s="97">
        <f>K13-SUM($B19:K19)</f>
        <v>72930.555555555562</v>
      </c>
      <c r="L25" s="97">
        <f>L13-SUM($B19:L19)</f>
        <v>72724.537037037036</v>
      </c>
      <c r="M25" s="97">
        <f>M13-SUM($B19:M19)</f>
        <v>72518.518518518526</v>
      </c>
      <c r="N25" s="97">
        <f>N13-SUM($B19:N19)</f>
        <v>72312.5</v>
      </c>
      <c r="O25" s="97">
        <f>O13-SUM($B19:O19)</f>
        <v>72106.481481481489</v>
      </c>
      <c r="P25" s="97">
        <f>P13-SUM($B19:P19)</f>
        <v>71900.462962962964</v>
      </c>
      <c r="Q25" s="97">
        <f>Q13-SUM($B19:Q19)</f>
        <v>71694.444444444453</v>
      </c>
      <c r="R25" s="97">
        <f>R13-SUM($B19:R19)</f>
        <v>71488.425925925927</v>
      </c>
      <c r="S25" s="97">
        <f>S13-SUM($B19:S19)</f>
        <v>71282.407407407416</v>
      </c>
      <c r="T25" s="97">
        <f>T13-SUM($B19:T19)</f>
        <v>71076.388888888891</v>
      </c>
      <c r="U25" s="97">
        <f>U13-SUM($B19:U19)</f>
        <v>70870.37037037038</v>
      </c>
      <c r="V25" s="97">
        <f>V13-SUM($B19:V19)</f>
        <v>70664.351851851854</v>
      </c>
      <c r="W25" s="97">
        <f>W13-SUM($B19:W19)</f>
        <v>70458.333333333343</v>
      </c>
      <c r="X25" s="97">
        <f>X13-SUM($B19:X19)</f>
        <v>70252.314814814818</v>
      </c>
      <c r="Y25" s="97">
        <f>Y13-SUM($B19:Y19)</f>
        <v>70046.296296296292</v>
      </c>
      <c r="Z25" s="97">
        <f>Z13-SUM($B19:Z19)</f>
        <v>69840.277777777781</v>
      </c>
      <c r="AA25" s="97">
        <f>AA13-SUM($B19:AA19)</f>
        <v>69634.25925925927</v>
      </c>
      <c r="AB25" s="97">
        <f>AB13-SUM($B19:AB19)</f>
        <v>69428.240740740745</v>
      </c>
      <c r="AC25" s="97">
        <f>AC13-SUM($B19:AC19)</f>
        <v>69222.222222222219</v>
      </c>
      <c r="AD25" s="97">
        <f>AD13-SUM($B19:AD19)</f>
        <v>69016.203703703708</v>
      </c>
      <c r="AE25" s="97">
        <f>AE13-SUM($B19:AE19)</f>
        <v>68810.185185185197</v>
      </c>
      <c r="AF25" s="97">
        <f>AF13-SUM($B19:AF19)</f>
        <v>68604.166666666672</v>
      </c>
      <c r="AG25" s="97">
        <f>AG13-SUM($B19:AG19)</f>
        <v>68398.148148148146</v>
      </c>
      <c r="AH25" s="97">
        <f>AH13-SUM($B19:AH19)</f>
        <v>68192.129629629635</v>
      </c>
      <c r="AI25" s="97">
        <f>AI13-SUM($B19:AI19)</f>
        <v>67986.111111111124</v>
      </c>
      <c r="AJ25" s="97">
        <f>AJ13-SUM($B19:AJ19)</f>
        <v>67780.092592592599</v>
      </c>
      <c r="AK25" s="97">
        <f>AK13-SUM($B19:AK19)</f>
        <v>67574.074074074073</v>
      </c>
      <c r="AL25" s="97">
        <f>AL13-SUM($B19:AL19)</f>
        <v>67368.055555555562</v>
      </c>
      <c r="AM25" s="97">
        <f>AM13-SUM($B19:AM19)</f>
        <v>67162.037037037051</v>
      </c>
      <c r="AN25" s="97">
        <f>AN13-SUM($B19:AN19)</f>
        <v>66956.018518518526</v>
      </c>
      <c r="AO25" s="97">
        <f>AO13-SUM($B19:AO19)</f>
        <v>66750</v>
      </c>
      <c r="AP25" s="97">
        <f>AP13-SUM($B19:AP19)</f>
        <v>66543.981481481489</v>
      </c>
      <c r="AQ25" s="97">
        <f>AQ13-SUM($B19:AQ19)</f>
        <v>66337.962962962978</v>
      </c>
      <c r="AR25" s="97">
        <f>AR13-SUM($B19:AR19)</f>
        <v>66131.944444444453</v>
      </c>
      <c r="AS25" s="97">
        <f>AS13-SUM($B19:AS19)</f>
        <v>65925.925925925927</v>
      </c>
      <c r="AT25" s="97">
        <f>AT13-SUM($B19:AT19)</f>
        <v>65719.907407407416</v>
      </c>
      <c r="AU25" s="97">
        <f>AU13-SUM($B19:AU19)</f>
        <v>65513.888888888898</v>
      </c>
      <c r="AV25" s="97">
        <f>AV13-SUM($B19:AV19)</f>
        <v>65307.87037037038</v>
      </c>
      <c r="AW25" s="97">
        <f>AW13-SUM($B19:AW19)</f>
        <v>65101.851851851861</v>
      </c>
      <c r="AX25" s="97">
        <f>AX13-SUM($B19:AX19)</f>
        <v>64895.833333333343</v>
      </c>
      <c r="AY25" s="97">
        <f>AY13-SUM($B19:AY19)</f>
        <v>64689.814814814825</v>
      </c>
      <c r="AZ25" s="97">
        <f>AZ13-SUM($B19:AZ19)</f>
        <v>64483.796296296307</v>
      </c>
      <c r="BA25" s="97">
        <f>BA13-SUM($B19:BA19)</f>
        <v>64277.777777777788</v>
      </c>
      <c r="BB25" s="97">
        <f>BB13-SUM($B19:BB19)</f>
        <v>64071.75925925927</v>
      </c>
      <c r="BC25" s="97">
        <f>BC13-SUM($B19:BC19)</f>
        <v>63865.740740740752</v>
      </c>
      <c r="BD25" s="97">
        <f>BD13-SUM($B19:BD19)</f>
        <v>63659.722222222234</v>
      </c>
      <c r="BE25" s="97">
        <f>BE13-SUM($B19:BE19)</f>
        <v>63453.703703703715</v>
      </c>
      <c r="BF25" s="97">
        <f>BF13-SUM($B19:BF19)</f>
        <v>63247.685185185197</v>
      </c>
      <c r="BG25" s="97">
        <f>BG13-SUM($B19:BG19)</f>
        <v>63041.666666666679</v>
      </c>
      <c r="BH25" s="97">
        <f>BH13-SUM($B19:BH19)</f>
        <v>62835.648148148161</v>
      </c>
      <c r="BI25" s="97">
        <f>BI13-SUM($B19:BI19)</f>
        <v>62629.629629629642</v>
      </c>
      <c r="BJ25" s="97">
        <f>BJ13-SUM($B19:BJ19)</f>
        <v>62423.611111111124</v>
      </c>
    </row>
    <row r="26" spans="1:69">
      <c r="A26" s="100" t="str">
        <f t="shared" ref="A26:A27" si="23">A9</f>
        <v>Оборудование и инвентарь</v>
      </c>
      <c r="B26" s="31"/>
      <c r="C26" s="97">
        <f>C14-SUM($B20:C20)</f>
        <v>0</v>
      </c>
      <c r="D26" s="97">
        <f>D14-SUM($B20:D20)</f>
        <v>0</v>
      </c>
      <c r="E26" s="97">
        <f>E14-SUM($B20:E20)</f>
        <v>0</v>
      </c>
      <c r="F26" s="97">
        <f>F14-SUM($B20:F20)</f>
        <v>62866.204236111116</v>
      </c>
      <c r="G26" s="97">
        <f>G14-SUM($B20:G20)</f>
        <v>62337.916805555556</v>
      </c>
      <c r="H26" s="97">
        <f>H14-SUM($B20:H20)</f>
        <v>61809.629375000004</v>
      </c>
      <c r="I26" s="97">
        <f>I14-SUM($B20:I20)</f>
        <v>61281.341944444444</v>
      </c>
      <c r="J26" s="97">
        <f>J14-SUM($B20:J20)</f>
        <v>60753.054513888892</v>
      </c>
      <c r="K26" s="97">
        <f>K14-SUM($B20:K20)</f>
        <v>60224.767083333332</v>
      </c>
      <c r="L26" s="97">
        <f>L14-SUM($B20:L20)</f>
        <v>59696.47965277778</v>
      </c>
      <c r="M26" s="97">
        <f>M14-SUM($B20:M20)</f>
        <v>59168.19222222222</v>
      </c>
      <c r="N26" s="97">
        <f>N14-SUM($B20:N20)</f>
        <v>58639.904791666668</v>
      </c>
      <c r="O26" s="97">
        <f>O14-SUM($B20:O20)</f>
        <v>58111.617361111115</v>
      </c>
      <c r="P26" s="97">
        <f>P14-SUM($B20:P20)</f>
        <v>57583.329930555556</v>
      </c>
      <c r="Q26" s="97">
        <f>Q14-SUM($B20:Q20)</f>
        <v>57055.042499999996</v>
      </c>
      <c r="R26" s="97">
        <f>R14-SUM($B20:R20)</f>
        <v>56526.755069444444</v>
      </c>
      <c r="S26" s="97">
        <f>S14-SUM($B20:S20)</f>
        <v>55998.467638888891</v>
      </c>
      <c r="T26" s="97">
        <f>T14-SUM($B20:T20)</f>
        <v>55470.180208333331</v>
      </c>
      <c r="U26" s="97">
        <f>U14-SUM($B20:U20)</f>
        <v>54941.892777777772</v>
      </c>
      <c r="V26" s="97">
        <f>V14-SUM($B20:V20)</f>
        <v>54413.605347222219</v>
      </c>
      <c r="W26" s="97">
        <f>W14-SUM($B20:W20)</f>
        <v>53885.317916666667</v>
      </c>
      <c r="X26" s="97">
        <f>X14-SUM($B20:X20)</f>
        <v>53357.030486111107</v>
      </c>
      <c r="Y26" s="97">
        <f>Y14-SUM($B20:Y20)</f>
        <v>52828.743055555547</v>
      </c>
      <c r="Z26" s="97">
        <f>Z14-SUM($B20:Z20)</f>
        <v>52300.455624999995</v>
      </c>
      <c r="AA26" s="97">
        <f>AA14-SUM($B20:AA20)</f>
        <v>51772.168194444443</v>
      </c>
      <c r="AB26" s="97">
        <f>AB14-SUM($B20:AB20)</f>
        <v>51243.880763888883</v>
      </c>
      <c r="AC26" s="97">
        <f>AC14-SUM($B20:AC20)</f>
        <v>50715.593333333323</v>
      </c>
      <c r="AD26" s="97">
        <f>AD14-SUM($B20:AD20)</f>
        <v>50187.305902777771</v>
      </c>
      <c r="AE26" s="97">
        <f>AE14-SUM($B20:AE20)</f>
        <v>49659.018472222218</v>
      </c>
      <c r="AF26" s="97">
        <f>AF14-SUM($B20:AF20)</f>
        <v>49130.731041666659</v>
      </c>
      <c r="AG26" s="97">
        <f>AG14-SUM($B20:AG20)</f>
        <v>48602.443611111099</v>
      </c>
      <c r="AH26" s="97">
        <f>AH14-SUM($B20:AH20)</f>
        <v>48074.156180555547</v>
      </c>
      <c r="AI26" s="97">
        <f>AI14-SUM($B20:AI20)</f>
        <v>47545.868749999994</v>
      </c>
      <c r="AJ26" s="97">
        <f>AJ14-SUM($B20:AJ20)</f>
        <v>47017.581319444434</v>
      </c>
      <c r="AK26" s="97">
        <f>AK14-SUM($B20:AK20)</f>
        <v>46489.293888888875</v>
      </c>
      <c r="AL26" s="97">
        <f>AL14-SUM($B20:AL20)</f>
        <v>45961.006458333322</v>
      </c>
      <c r="AM26" s="97">
        <f>AM14-SUM($B20:AM20)</f>
        <v>45432.71902777777</v>
      </c>
      <c r="AN26" s="97">
        <f>AN14-SUM($B20:AN20)</f>
        <v>44904.43159722221</v>
      </c>
      <c r="AO26" s="97">
        <f>AO14-SUM($B20:AO20)</f>
        <v>44376.144166666651</v>
      </c>
      <c r="AP26" s="97">
        <f>AP14-SUM($B20:AP20)</f>
        <v>43847.856736111098</v>
      </c>
      <c r="AQ26" s="97">
        <f>AQ14-SUM($B20:AQ20)</f>
        <v>43319.569305555546</v>
      </c>
      <c r="AR26" s="97">
        <f>AR14-SUM($B20:AR20)</f>
        <v>42791.281874999986</v>
      </c>
      <c r="AS26" s="97">
        <f>AS14-SUM($B20:AS20)</f>
        <v>42262.994444444426</v>
      </c>
      <c r="AT26" s="97">
        <f>AT14-SUM($B20:AT20)</f>
        <v>41734.707013888874</v>
      </c>
      <c r="AU26" s="97">
        <f>AU14-SUM($B20:AU20)</f>
        <v>41206.419583333321</v>
      </c>
      <c r="AV26" s="97">
        <f>AV14-SUM($B20:AV20)</f>
        <v>40678.132152777762</v>
      </c>
      <c r="AW26" s="97">
        <f>AW14-SUM($B20:AW20)</f>
        <v>40149.844722222202</v>
      </c>
      <c r="AX26" s="97">
        <f>AX14-SUM($B20:AX20)</f>
        <v>39621.55729166665</v>
      </c>
      <c r="AY26" s="97">
        <f>AY14-SUM($B20:AY20)</f>
        <v>39093.269861111097</v>
      </c>
      <c r="AZ26" s="97">
        <f>AZ14-SUM($B20:AZ20)</f>
        <v>38564.982430555538</v>
      </c>
      <c r="BA26" s="97">
        <f>BA14-SUM($B20:BA20)</f>
        <v>38036.694999999978</v>
      </c>
      <c r="BB26" s="97">
        <f>BB14-SUM($B20:BB20)</f>
        <v>37508.407569444425</v>
      </c>
      <c r="BC26" s="97">
        <f>BC14-SUM($B20:BC20)</f>
        <v>36980.120138888873</v>
      </c>
      <c r="BD26" s="97">
        <f>BD14-SUM($B20:BD20)</f>
        <v>36451.832708333313</v>
      </c>
      <c r="BE26" s="97">
        <f>BE14-SUM($B20:BE20)</f>
        <v>35923.545277777754</v>
      </c>
      <c r="BF26" s="97">
        <f>BF14-SUM($B20:BF20)</f>
        <v>35395.257847222201</v>
      </c>
      <c r="BG26" s="97">
        <f>BG14-SUM($B20:BG20)</f>
        <v>34866.970416666649</v>
      </c>
      <c r="BH26" s="97">
        <f>BH14-SUM($B20:BH20)</f>
        <v>34338.682986111089</v>
      </c>
      <c r="BI26" s="97">
        <f>BI14-SUM($B20:BI20)</f>
        <v>33810.395555555529</v>
      </c>
      <c r="BJ26" s="97">
        <f>BJ14-SUM($B20:BJ20)</f>
        <v>33282.108124999977</v>
      </c>
    </row>
    <row r="27" spans="1:69">
      <c r="A27" s="100" t="str">
        <f t="shared" si="23"/>
        <v>Прочие подготовительные расходы</v>
      </c>
      <c r="B27" s="31"/>
      <c r="C27" s="97">
        <f>C15-SUM($B21:C21)</f>
        <v>0</v>
      </c>
      <c r="D27" s="97">
        <f>D15-SUM($B21:D21)</f>
        <v>0</v>
      </c>
      <c r="E27" s="97">
        <f>E15-SUM($B21:E21)</f>
        <v>0</v>
      </c>
      <c r="F27" s="97">
        <f>F15-SUM($B21:F21)</f>
        <v>4371.5972222222226</v>
      </c>
      <c r="G27" s="97">
        <f>G15-SUM($B21:G21)</f>
        <v>4334.8611111111113</v>
      </c>
      <c r="H27" s="97">
        <f>H15-SUM($B21:H21)</f>
        <v>4298.1250000000009</v>
      </c>
      <c r="I27" s="97">
        <f>I15-SUM($B21:I21)</f>
        <v>4261.3888888888896</v>
      </c>
      <c r="J27" s="97">
        <f>J15-SUM($B21:J21)</f>
        <v>4224.6527777777783</v>
      </c>
      <c r="K27" s="97">
        <f>K15-SUM($B21:K21)</f>
        <v>4187.916666666667</v>
      </c>
      <c r="L27" s="97">
        <f>L15-SUM($B21:L21)</f>
        <v>4151.1805555555566</v>
      </c>
      <c r="M27" s="97">
        <f>M15-SUM($B21:M21)</f>
        <v>4114.4444444444453</v>
      </c>
      <c r="N27" s="97">
        <f>N15-SUM($B21:N21)</f>
        <v>4077.7083333333339</v>
      </c>
      <c r="O27" s="97">
        <f>O15-SUM($B21:O21)</f>
        <v>4040.9722222222226</v>
      </c>
      <c r="P27" s="97">
        <f>P15-SUM($B21:P21)</f>
        <v>4004.2361111111118</v>
      </c>
      <c r="Q27" s="97">
        <f>Q15-SUM($B21:Q21)</f>
        <v>3967.5000000000009</v>
      </c>
      <c r="R27" s="97">
        <f>R15-SUM($B21:R21)</f>
        <v>3930.7638888888896</v>
      </c>
      <c r="S27" s="97">
        <f>S15-SUM($B21:S21)</f>
        <v>3894.0277777777783</v>
      </c>
      <c r="T27" s="97">
        <f>T15-SUM($B21:T21)</f>
        <v>3857.2916666666674</v>
      </c>
      <c r="U27" s="97">
        <f>U15-SUM($B21:U21)</f>
        <v>3820.5555555555566</v>
      </c>
      <c r="V27" s="97">
        <f>V15-SUM($B21:V21)</f>
        <v>3783.8194444444453</v>
      </c>
      <c r="W27" s="97">
        <f>W15-SUM($B21:W21)</f>
        <v>3747.0833333333339</v>
      </c>
      <c r="X27" s="97">
        <f>X15-SUM($B21:X21)</f>
        <v>3710.3472222222231</v>
      </c>
      <c r="Y27" s="97">
        <f>Y15-SUM($B21:Y21)</f>
        <v>3673.6111111111122</v>
      </c>
      <c r="Z27" s="97">
        <f>Z15-SUM($B21:Z21)</f>
        <v>3636.8750000000009</v>
      </c>
      <c r="AA27" s="97">
        <f>AA15-SUM($B21:AA21)</f>
        <v>3600.1388888888896</v>
      </c>
      <c r="AB27" s="97">
        <f>AB15-SUM($B21:AB21)</f>
        <v>3563.4027777777787</v>
      </c>
      <c r="AC27" s="97">
        <f>AC15-SUM($B21:AC21)</f>
        <v>3526.6666666666679</v>
      </c>
      <c r="AD27" s="97">
        <f>AD15-SUM($B21:AD21)</f>
        <v>3489.9305555555566</v>
      </c>
      <c r="AE27" s="97">
        <f>AE15-SUM($B21:AE21)</f>
        <v>3453.1944444444453</v>
      </c>
      <c r="AF27" s="97">
        <f>AF15-SUM($B21:AF21)</f>
        <v>3416.4583333333344</v>
      </c>
      <c r="AG27" s="97">
        <f>AG15-SUM($B21:AG21)</f>
        <v>3379.7222222222235</v>
      </c>
      <c r="AH27" s="97">
        <f>AH15-SUM($B21:AH21)</f>
        <v>3342.9861111111122</v>
      </c>
      <c r="AI27" s="97">
        <f>AI15-SUM($B21:AI21)</f>
        <v>3306.2500000000009</v>
      </c>
      <c r="AJ27" s="97">
        <f>AJ15-SUM($B21:AJ21)</f>
        <v>3269.5138888888901</v>
      </c>
      <c r="AK27" s="97">
        <f>AK15-SUM($B21:AK21)</f>
        <v>3232.7777777777792</v>
      </c>
      <c r="AL27" s="97">
        <f>AL15-SUM($B21:AL21)</f>
        <v>3196.0416666666679</v>
      </c>
      <c r="AM27" s="97">
        <f>AM15-SUM($B21:AM21)</f>
        <v>3159.3055555555566</v>
      </c>
      <c r="AN27" s="97">
        <f>AN15-SUM($B21:AN21)</f>
        <v>3122.5694444444457</v>
      </c>
      <c r="AO27" s="97">
        <f>AO15-SUM($B21:AO21)</f>
        <v>3085.8333333333348</v>
      </c>
      <c r="AP27" s="97">
        <f>AP15-SUM($B21:AP21)</f>
        <v>3049.0972222222235</v>
      </c>
      <c r="AQ27" s="97">
        <f>AQ15-SUM($B21:AQ21)</f>
        <v>3012.3611111111122</v>
      </c>
      <c r="AR27" s="97">
        <f>AR15-SUM($B21:AR21)</f>
        <v>2975.6250000000014</v>
      </c>
      <c r="AS27" s="97">
        <f>AS15-SUM($B21:AS21)</f>
        <v>2938.8888888888905</v>
      </c>
      <c r="AT27" s="97">
        <f>AT15-SUM($B21:AT21)</f>
        <v>2902.1527777777792</v>
      </c>
      <c r="AU27" s="97">
        <f>AU15-SUM($B21:AU21)</f>
        <v>2865.4166666666679</v>
      </c>
      <c r="AV27" s="97">
        <f>AV15-SUM($B21:AV21)</f>
        <v>2828.680555555557</v>
      </c>
      <c r="AW27" s="97">
        <f>AW15-SUM($B21:AW21)</f>
        <v>2791.9444444444462</v>
      </c>
      <c r="AX27" s="97">
        <f>AX15-SUM($B21:AX21)</f>
        <v>2755.2083333333348</v>
      </c>
      <c r="AY27" s="97">
        <f>AY15-SUM($B21:AY21)</f>
        <v>2718.4722222222235</v>
      </c>
      <c r="AZ27" s="97">
        <f>AZ15-SUM($B21:AZ21)</f>
        <v>2681.7361111111127</v>
      </c>
      <c r="BA27" s="97">
        <f>BA15-SUM($B21:BA21)</f>
        <v>2645.0000000000018</v>
      </c>
      <c r="BB27" s="97">
        <f>BB15-SUM($B21:BB21)</f>
        <v>2608.2638888888905</v>
      </c>
      <c r="BC27" s="97">
        <f>BC15-SUM($B21:BC21)</f>
        <v>2571.5277777777792</v>
      </c>
      <c r="BD27" s="97">
        <f>BD15-SUM($B21:BD21)</f>
        <v>2534.7916666666683</v>
      </c>
      <c r="BE27" s="97">
        <f>BE15-SUM($B21:BE21)</f>
        <v>2498.0555555555575</v>
      </c>
      <c r="BF27" s="97">
        <f>BF15-SUM($B21:BF21)</f>
        <v>2461.3194444444462</v>
      </c>
      <c r="BG27" s="97">
        <f>BG15-SUM($B21:BG21)</f>
        <v>2424.5833333333348</v>
      </c>
      <c r="BH27" s="97">
        <f>BH15-SUM($B21:BH21)</f>
        <v>2387.847222222224</v>
      </c>
      <c r="BI27" s="97">
        <f>BI15-SUM($B21:BI21)</f>
        <v>2351.1111111111127</v>
      </c>
      <c r="BJ27" s="97">
        <f>BJ15-SUM($B21:BJ21)</f>
        <v>2314.3750000000014</v>
      </c>
    </row>
    <row r="28" spans="1:69">
      <c r="A28" s="34" t="s">
        <v>11</v>
      </c>
      <c r="B28" s="22"/>
      <c r="C28" s="98">
        <f>SUM(C25:C27)</f>
        <v>0</v>
      </c>
      <c r="D28" s="98">
        <f t="shared" ref="D28:BJ28" si="24">SUM(D25:D27)</f>
        <v>0</v>
      </c>
      <c r="E28" s="98">
        <f t="shared" si="24"/>
        <v>0</v>
      </c>
      <c r="F28" s="98">
        <f t="shared" si="24"/>
        <v>141198.44960648147</v>
      </c>
      <c r="G28" s="98">
        <f t="shared" si="24"/>
        <v>140427.40754629631</v>
      </c>
      <c r="H28" s="98">
        <f t="shared" si="24"/>
        <v>139656.36548611111</v>
      </c>
      <c r="I28" s="98">
        <f t="shared" si="24"/>
        <v>138885.32342592592</v>
      </c>
      <c r="J28" s="98">
        <f t="shared" si="24"/>
        <v>138114.28136574075</v>
      </c>
      <c r="K28" s="98">
        <f t="shared" si="24"/>
        <v>137343.23930555556</v>
      </c>
      <c r="L28" s="98">
        <f t="shared" si="24"/>
        <v>136572.19724537036</v>
      </c>
      <c r="M28" s="98">
        <f t="shared" si="24"/>
        <v>135801.1551851852</v>
      </c>
      <c r="N28" s="98">
        <f t="shared" si="24"/>
        <v>135030.113125</v>
      </c>
      <c r="O28" s="98">
        <f t="shared" si="24"/>
        <v>134259.07106481484</v>
      </c>
      <c r="P28" s="98">
        <f t="shared" si="24"/>
        <v>133488.02900462964</v>
      </c>
      <c r="Q28" s="98">
        <f t="shared" si="24"/>
        <v>132716.98694444445</v>
      </c>
      <c r="R28" s="98">
        <f t="shared" si="24"/>
        <v>131945.94488425925</v>
      </c>
      <c r="S28" s="98">
        <f t="shared" si="24"/>
        <v>131174.90282407409</v>
      </c>
      <c r="T28" s="98">
        <f t="shared" si="24"/>
        <v>130403.86076388889</v>
      </c>
      <c r="U28" s="98">
        <f t="shared" si="24"/>
        <v>129632.81870370371</v>
      </c>
      <c r="V28" s="98">
        <f t="shared" si="24"/>
        <v>128861.7766435185</v>
      </c>
      <c r="W28" s="98">
        <f t="shared" si="24"/>
        <v>128090.73458333334</v>
      </c>
      <c r="X28" s="98">
        <f t="shared" si="24"/>
        <v>127319.69252314814</v>
      </c>
      <c r="Y28" s="98">
        <f t="shared" si="24"/>
        <v>126548.65046296295</v>
      </c>
      <c r="Z28" s="98">
        <f t="shared" si="24"/>
        <v>125777.60840277778</v>
      </c>
      <c r="AA28" s="98">
        <f t="shared" si="24"/>
        <v>125006.5663425926</v>
      </c>
      <c r="AB28" s="98">
        <f t="shared" si="24"/>
        <v>124235.52428240741</v>
      </c>
      <c r="AC28" s="98">
        <f t="shared" si="24"/>
        <v>123464.48222222221</v>
      </c>
      <c r="AD28" s="98">
        <f t="shared" si="24"/>
        <v>122693.44016203703</v>
      </c>
      <c r="AE28" s="98">
        <f t="shared" si="24"/>
        <v>121922.39810185187</v>
      </c>
      <c r="AF28" s="98">
        <f t="shared" si="24"/>
        <v>121151.35604166666</v>
      </c>
      <c r="AG28" s="98">
        <f t="shared" si="24"/>
        <v>120380.31398148146</v>
      </c>
      <c r="AH28" s="98">
        <f t="shared" si="24"/>
        <v>119609.2719212963</v>
      </c>
      <c r="AI28" s="98">
        <f t="shared" si="24"/>
        <v>118838.22986111112</v>
      </c>
      <c r="AJ28" s="98">
        <f t="shared" si="24"/>
        <v>118067.18780092592</v>
      </c>
      <c r="AK28" s="98">
        <f t="shared" si="24"/>
        <v>117296.14574074073</v>
      </c>
      <c r="AL28" s="98">
        <f t="shared" si="24"/>
        <v>116525.10368055555</v>
      </c>
      <c r="AM28" s="98">
        <f t="shared" si="24"/>
        <v>115754.06162037038</v>
      </c>
      <c r="AN28" s="98">
        <f t="shared" si="24"/>
        <v>114983.01956018519</v>
      </c>
      <c r="AO28" s="98">
        <f t="shared" si="24"/>
        <v>114211.97749999998</v>
      </c>
      <c r="AP28" s="98">
        <f t="shared" si="24"/>
        <v>113440.93543981481</v>
      </c>
      <c r="AQ28" s="98">
        <f t="shared" si="24"/>
        <v>112669.89337962963</v>
      </c>
      <c r="AR28" s="98">
        <f t="shared" si="24"/>
        <v>111898.85131944444</v>
      </c>
      <c r="AS28" s="98">
        <f t="shared" si="24"/>
        <v>111127.80925925924</v>
      </c>
      <c r="AT28" s="98">
        <f t="shared" si="24"/>
        <v>110356.76719907406</v>
      </c>
      <c r="AU28" s="98">
        <f t="shared" si="24"/>
        <v>109585.72513888888</v>
      </c>
      <c r="AV28" s="98">
        <f t="shared" si="24"/>
        <v>108814.6830787037</v>
      </c>
      <c r="AW28" s="98">
        <f t="shared" si="24"/>
        <v>108043.64101851852</v>
      </c>
      <c r="AX28" s="98">
        <f t="shared" si="24"/>
        <v>107272.59895833333</v>
      </c>
      <c r="AY28" s="98">
        <f t="shared" si="24"/>
        <v>106501.55689814815</v>
      </c>
      <c r="AZ28" s="98">
        <f t="shared" si="24"/>
        <v>105730.51483796295</v>
      </c>
      <c r="BA28" s="98">
        <f t="shared" si="24"/>
        <v>104959.47277777776</v>
      </c>
      <c r="BB28" s="98">
        <f t="shared" si="24"/>
        <v>104188.43071759258</v>
      </c>
      <c r="BC28" s="98">
        <f t="shared" si="24"/>
        <v>103417.3886574074</v>
      </c>
      <c r="BD28" s="98">
        <f t="shared" si="24"/>
        <v>102646.34659722222</v>
      </c>
      <c r="BE28" s="98">
        <f t="shared" si="24"/>
        <v>101875.30453703704</v>
      </c>
      <c r="BF28" s="98">
        <f t="shared" si="24"/>
        <v>101104.26247685186</v>
      </c>
      <c r="BG28" s="98">
        <f t="shared" si="24"/>
        <v>100333.22041666666</v>
      </c>
      <c r="BH28" s="98">
        <f t="shared" si="24"/>
        <v>99562.178356481469</v>
      </c>
      <c r="BI28" s="98">
        <f t="shared" si="24"/>
        <v>98791.136296296274</v>
      </c>
      <c r="BJ28" s="98">
        <f t="shared" si="24"/>
        <v>98020.094236111094</v>
      </c>
    </row>
  </sheetData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AD44D-F748-4962-9556-79BF4FF54772}">
  <dimension ref="A1:DQ31"/>
  <sheetViews>
    <sheetView zoomScale="93" zoomScaleNormal="93" zoomScalePageLayoutView="90" workbookViewId="0">
      <pane xSplit="2" ySplit="5" topLeftCell="BG6" activePane="bottomRight" state="frozen"/>
      <selection pane="topRight" activeCell="C1" sqref="C1"/>
      <selection pane="bottomLeft" activeCell="A6" sqref="A6"/>
      <selection pane="bottomRight" activeCell="A19" sqref="A19:A20"/>
    </sheetView>
  </sheetViews>
  <sheetFormatPr defaultColWidth="8.640625" defaultRowHeight="13.9"/>
  <cols>
    <col min="1" max="1" width="49.640625" style="1" customWidth="1"/>
    <col min="2" max="2" width="25" style="1" customWidth="1"/>
    <col min="3" max="3" width="10.640625" style="1" customWidth="1"/>
    <col min="4" max="4" width="12.42578125" style="1" customWidth="1"/>
    <col min="5" max="6" width="11.42578125" style="1" customWidth="1"/>
    <col min="7" max="7" width="12.42578125" style="1" customWidth="1"/>
    <col min="8" max="10" width="11.42578125" style="1" customWidth="1"/>
    <col min="11" max="11" width="12.42578125" style="1" customWidth="1"/>
    <col min="12" max="12" width="11.42578125" style="1" customWidth="1"/>
    <col min="13" max="13" width="12.42578125" style="1" customWidth="1"/>
    <col min="14" max="15" width="11.42578125" style="1" customWidth="1"/>
    <col min="16" max="16" width="12.42578125" style="1" customWidth="1"/>
    <col min="17" max="18" width="11.42578125" style="1" customWidth="1"/>
    <col min="19" max="26" width="12.42578125" style="1" customWidth="1"/>
    <col min="27" max="27" width="11.42578125" style="1" customWidth="1"/>
    <col min="28" max="62" width="12.42578125" style="1" customWidth="1"/>
    <col min="63" max="63" width="11.85546875" style="1" customWidth="1"/>
    <col min="64" max="64" width="3" style="1" customWidth="1"/>
    <col min="65" max="65" width="9.640625" style="1" customWidth="1"/>
    <col min="66" max="66" width="10.42578125" style="1" customWidth="1"/>
    <col min="67" max="67" width="10.140625" style="1" customWidth="1"/>
    <col min="68" max="68" width="11.140625" style="1" customWidth="1"/>
    <col min="69" max="69" width="9.640625" style="1" customWidth="1"/>
    <col min="70" max="70" width="10.640625" style="1" customWidth="1"/>
    <col min="71" max="16384" width="8.640625" style="1"/>
  </cols>
  <sheetData>
    <row r="1" spans="1:121">
      <c r="A1" s="18" t="s">
        <v>6</v>
      </c>
      <c r="B1" s="18"/>
      <c r="C1" s="19">
        <f>IF(OR(MONTH(C3)=1,MONTH(C3)=2,MONTH(C3)=3),1,IF(OR(MONTH(C3)=4,MONTH(C3)=5,MONTH(C3)=6),2,IF(OR(MONTH(C3)=7,MONTH(C3)=8,MONTH(C3)=9),3,4)))</f>
        <v>3</v>
      </c>
      <c r="D1" s="19">
        <f>IF(OR(MONTH(D3)=1,MONTH(D3)=2,MONTH(D3)=3),1,IF(OR(MONTH(D3)=4,MONTH(D3)=5,MONTH(D3)=6),2,IF(OR(MONTH(D3)=7,MONTH(D3)=8,MONTH(D3)=9),3,4)))</f>
        <v>4</v>
      </c>
      <c r="E1" s="19">
        <f>IF(OR(MONTH(E3)=1,MONTH(E3)=2,MONTH(E3)=3),1,IF(OR(MONTH(E3)=4,MONTH(E3)=5,MONTH(E3)=6),2,IF(OR(MONTH(E3)=7,MONTH(E3)=8,MONTH(E3)=9),3,4)))</f>
        <v>4</v>
      </c>
      <c r="F1" s="19">
        <f t="shared" ref="F1:BJ1" si="0">IF(OR(MONTH(F3)=1,MONTH(F3)=2,MONTH(F3)=3),1,IF(OR(MONTH(F3)=4,MONTH(F3)=5,MONTH(F3)=6),2,IF(OR(MONTH(F3)=7,MONTH(F3)=8,MONTH(F3)=9),3,4)))</f>
        <v>4</v>
      </c>
      <c r="G1" s="19">
        <f t="shared" si="0"/>
        <v>1</v>
      </c>
      <c r="H1" s="19">
        <f t="shared" si="0"/>
        <v>1</v>
      </c>
      <c r="I1" s="19">
        <f t="shared" si="0"/>
        <v>1</v>
      </c>
      <c r="J1" s="19">
        <f t="shared" si="0"/>
        <v>2</v>
      </c>
      <c r="K1" s="19">
        <f t="shared" si="0"/>
        <v>2</v>
      </c>
      <c r="L1" s="19">
        <f t="shared" si="0"/>
        <v>2</v>
      </c>
      <c r="M1" s="19">
        <f t="shared" si="0"/>
        <v>3</v>
      </c>
      <c r="N1" s="19">
        <f t="shared" si="0"/>
        <v>3</v>
      </c>
      <c r="O1" s="19">
        <f t="shared" si="0"/>
        <v>3</v>
      </c>
      <c r="P1" s="19">
        <f t="shared" si="0"/>
        <v>4</v>
      </c>
      <c r="Q1" s="19">
        <f t="shared" si="0"/>
        <v>4</v>
      </c>
      <c r="R1" s="19">
        <f t="shared" si="0"/>
        <v>4</v>
      </c>
      <c r="S1" s="19">
        <f t="shared" si="0"/>
        <v>1</v>
      </c>
      <c r="T1" s="19">
        <f t="shared" si="0"/>
        <v>1</v>
      </c>
      <c r="U1" s="19">
        <f t="shared" si="0"/>
        <v>1</v>
      </c>
      <c r="V1" s="19">
        <f t="shared" si="0"/>
        <v>2</v>
      </c>
      <c r="W1" s="19">
        <f t="shared" si="0"/>
        <v>2</v>
      </c>
      <c r="X1" s="19">
        <f t="shared" si="0"/>
        <v>2</v>
      </c>
      <c r="Y1" s="19">
        <f t="shared" si="0"/>
        <v>3</v>
      </c>
      <c r="Z1" s="19">
        <f t="shared" si="0"/>
        <v>3</v>
      </c>
      <c r="AA1" s="19">
        <f t="shared" si="0"/>
        <v>3</v>
      </c>
      <c r="AB1" s="19">
        <f t="shared" si="0"/>
        <v>4</v>
      </c>
      <c r="AC1" s="19">
        <f t="shared" si="0"/>
        <v>4</v>
      </c>
      <c r="AD1" s="19">
        <f t="shared" si="0"/>
        <v>4</v>
      </c>
      <c r="AE1" s="19">
        <f t="shared" si="0"/>
        <v>1</v>
      </c>
      <c r="AF1" s="19">
        <f t="shared" si="0"/>
        <v>1</v>
      </c>
      <c r="AG1" s="19">
        <f t="shared" si="0"/>
        <v>1</v>
      </c>
      <c r="AH1" s="19">
        <f t="shared" si="0"/>
        <v>2</v>
      </c>
      <c r="AI1" s="19">
        <f t="shared" si="0"/>
        <v>2</v>
      </c>
      <c r="AJ1" s="19">
        <f t="shared" si="0"/>
        <v>2</v>
      </c>
      <c r="AK1" s="19">
        <f t="shared" si="0"/>
        <v>3</v>
      </c>
      <c r="AL1" s="19">
        <f t="shared" si="0"/>
        <v>3</v>
      </c>
      <c r="AM1" s="19">
        <f t="shared" si="0"/>
        <v>3</v>
      </c>
      <c r="AN1" s="19">
        <f t="shared" si="0"/>
        <v>4</v>
      </c>
      <c r="AO1" s="19">
        <f t="shared" si="0"/>
        <v>4</v>
      </c>
      <c r="AP1" s="19">
        <f t="shared" si="0"/>
        <v>4</v>
      </c>
      <c r="AQ1" s="19">
        <f t="shared" si="0"/>
        <v>1</v>
      </c>
      <c r="AR1" s="19">
        <f t="shared" si="0"/>
        <v>1</v>
      </c>
      <c r="AS1" s="19">
        <f t="shared" si="0"/>
        <v>1</v>
      </c>
      <c r="AT1" s="19">
        <f t="shared" si="0"/>
        <v>2</v>
      </c>
      <c r="AU1" s="19">
        <f t="shared" si="0"/>
        <v>2</v>
      </c>
      <c r="AV1" s="19">
        <f t="shared" si="0"/>
        <v>2</v>
      </c>
      <c r="AW1" s="19">
        <f t="shared" si="0"/>
        <v>3</v>
      </c>
      <c r="AX1" s="19">
        <f t="shared" si="0"/>
        <v>3</v>
      </c>
      <c r="AY1" s="19">
        <f t="shared" si="0"/>
        <v>3</v>
      </c>
      <c r="AZ1" s="19">
        <f t="shared" si="0"/>
        <v>4</v>
      </c>
      <c r="BA1" s="19">
        <f t="shared" si="0"/>
        <v>4</v>
      </c>
      <c r="BB1" s="19">
        <f t="shared" si="0"/>
        <v>4</v>
      </c>
      <c r="BC1" s="19">
        <f t="shared" si="0"/>
        <v>1</v>
      </c>
      <c r="BD1" s="19">
        <f t="shared" si="0"/>
        <v>1</v>
      </c>
      <c r="BE1" s="19">
        <f t="shared" si="0"/>
        <v>1</v>
      </c>
      <c r="BF1" s="19">
        <f t="shared" si="0"/>
        <v>2</v>
      </c>
      <c r="BG1" s="19">
        <f t="shared" si="0"/>
        <v>2</v>
      </c>
      <c r="BH1" s="19">
        <f t="shared" si="0"/>
        <v>2</v>
      </c>
      <c r="BI1" s="19">
        <f t="shared" si="0"/>
        <v>3</v>
      </c>
      <c r="BJ1" s="19">
        <f t="shared" si="0"/>
        <v>3</v>
      </c>
      <c r="BN1" s="2"/>
    </row>
    <row r="2" spans="1:121">
      <c r="A2" s="18" t="s">
        <v>7</v>
      </c>
      <c r="B2" s="18"/>
      <c r="C2" s="19">
        <f>YEAR(C3)</f>
        <v>2025</v>
      </c>
      <c r="D2" s="19">
        <f>YEAR(D3)</f>
        <v>2025</v>
      </c>
      <c r="E2" s="19">
        <f t="shared" ref="E2:BJ2" si="1">YEAR(E3)</f>
        <v>2025</v>
      </c>
      <c r="F2" s="19">
        <f t="shared" si="1"/>
        <v>2025</v>
      </c>
      <c r="G2" s="19">
        <f t="shared" si="1"/>
        <v>2026</v>
      </c>
      <c r="H2" s="19">
        <f t="shared" si="1"/>
        <v>2026</v>
      </c>
      <c r="I2" s="19">
        <f t="shared" si="1"/>
        <v>2026</v>
      </c>
      <c r="J2" s="19">
        <f t="shared" si="1"/>
        <v>2026</v>
      </c>
      <c r="K2" s="19">
        <f t="shared" si="1"/>
        <v>2026</v>
      </c>
      <c r="L2" s="19">
        <f t="shared" si="1"/>
        <v>2026</v>
      </c>
      <c r="M2" s="19">
        <f t="shared" si="1"/>
        <v>2026</v>
      </c>
      <c r="N2" s="19">
        <f t="shared" si="1"/>
        <v>2026</v>
      </c>
      <c r="O2" s="19">
        <f t="shared" si="1"/>
        <v>2026</v>
      </c>
      <c r="P2" s="19">
        <f t="shared" si="1"/>
        <v>2026</v>
      </c>
      <c r="Q2" s="19">
        <f t="shared" si="1"/>
        <v>2026</v>
      </c>
      <c r="R2" s="19">
        <f t="shared" si="1"/>
        <v>2026</v>
      </c>
      <c r="S2" s="19">
        <f t="shared" si="1"/>
        <v>2027</v>
      </c>
      <c r="T2" s="19">
        <f t="shared" si="1"/>
        <v>2027</v>
      </c>
      <c r="U2" s="19">
        <f t="shared" si="1"/>
        <v>2027</v>
      </c>
      <c r="V2" s="19">
        <f t="shared" si="1"/>
        <v>2027</v>
      </c>
      <c r="W2" s="19">
        <f t="shared" si="1"/>
        <v>2027</v>
      </c>
      <c r="X2" s="19">
        <f t="shared" si="1"/>
        <v>2027</v>
      </c>
      <c r="Y2" s="19">
        <f t="shared" si="1"/>
        <v>2027</v>
      </c>
      <c r="Z2" s="19">
        <f t="shared" si="1"/>
        <v>2027</v>
      </c>
      <c r="AA2" s="19">
        <f t="shared" si="1"/>
        <v>2027</v>
      </c>
      <c r="AB2" s="19">
        <f t="shared" si="1"/>
        <v>2027</v>
      </c>
      <c r="AC2" s="19">
        <f t="shared" si="1"/>
        <v>2027</v>
      </c>
      <c r="AD2" s="19">
        <f t="shared" si="1"/>
        <v>2027</v>
      </c>
      <c r="AE2" s="19">
        <f t="shared" si="1"/>
        <v>2028</v>
      </c>
      <c r="AF2" s="19">
        <f t="shared" si="1"/>
        <v>2028</v>
      </c>
      <c r="AG2" s="19">
        <f t="shared" si="1"/>
        <v>2028</v>
      </c>
      <c r="AH2" s="19">
        <f t="shared" si="1"/>
        <v>2028</v>
      </c>
      <c r="AI2" s="19">
        <f t="shared" si="1"/>
        <v>2028</v>
      </c>
      <c r="AJ2" s="19">
        <f t="shared" si="1"/>
        <v>2028</v>
      </c>
      <c r="AK2" s="19">
        <f t="shared" si="1"/>
        <v>2028</v>
      </c>
      <c r="AL2" s="19">
        <f t="shared" si="1"/>
        <v>2028</v>
      </c>
      <c r="AM2" s="19">
        <f t="shared" si="1"/>
        <v>2028</v>
      </c>
      <c r="AN2" s="19">
        <f t="shared" si="1"/>
        <v>2028</v>
      </c>
      <c r="AO2" s="19">
        <f t="shared" si="1"/>
        <v>2028</v>
      </c>
      <c r="AP2" s="19">
        <f t="shared" si="1"/>
        <v>2028</v>
      </c>
      <c r="AQ2" s="19">
        <f t="shared" si="1"/>
        <v>2029</v>
      </c>
      <c r="AR2" s="19">
        <f t="shared" si="1"/>
        <v>2029</v>
      </c>
      <c r="AS2" s="19">
        <f t="shared" si="1"/>
        <v>2029</v>
      </c>
      <c r="AT2" s="19">
        <f t="shared" si="1"/>
        <v>2029</v>
      </c>
      <c r="AU2" s="19">
        <f t="shared" si="1"/>
        <v>2029</v>
      </c>
      <c r="AV2" s="19">
        <f t="shared" si="1"/>
        <v>2029</v>
      </c>
      <c r="AW2" s="19">
        <f t="shared" si="1"/>
        <v>2029</v>
      </c>
      <c r="AX2" s="19">
        <f t="shared" si="1"/>
        <v>2029</v>
      </c>
      <c r="AY2" s="19">
        <f t="shared" si="1"/>
        <v>2029</v>
      </c>
      <c r="AZ2" s="19">
        <f t="shared" si="1"/>
        <v>2029</v>
      </c>
      <c r="BA2" s="19">
        <f t="shared" si="1"/>
        <v>2029</v>
      </c>
      <c r="BB2" s="19">
        <f t="shared" si="1"/>
        <v>2029</v>
      </c>
      <c r="BC2" s="19">
        <f t="shared" si="1"/>
        <v>2030</v>
      </c>
      <c r="BD2" s="19">
        <f t="shared" si="1"/>
        <v>2030</v>
      </c>
      <c r="BE2" s="19">
        <f t="shared" si="1"/>
        <v>2030</v>
      </c>
      <c r="BF2" s="19">
        <f t="shared" si="1"/>
        <v>2030</v>
      </c>
      <c r="BG2" s="19">
        <f t="shared" si="1"/>
        <v>2030</v>
      </c>
      <c r="BH2" s="19">
        <f t="shared" si="1"/>
        <v>2030</v>
      </c>
      <c r="BI2" s="19">
        <f t="shared" si="1"/>
        <v>2030</v>
      </c>
      <c r="BJ2" s="19">
        <f t="shared" si="1"/>
        <v>2030</v>
      </c>
      <c r="BM2" s="19">
        <f>YEAR(Допущения!$C$4)</f>
        <v>2025</v>
      </c>
      <c r="BN2" s="19">
        <f>BM2+1</f>
        <v>2026</v>
      </c>
      <c r="BO2" s="19">
        <f>BN2+1</f>
        <v>2027</v>
      </c>
      <c r="BP2" s="19">
        <f>BO2+1</f>
        <v>2028</v>
      </c>
      <c r="BQ2" s="19">
        <f t="shared" ref="BQ2:BR2" si="2">BP2+1</f>
        <v>2029</v>
      </c>
      <c r="BR2" s="19">
        <f t="shared" si="2"/>
        <v>2030</v>
      </c>
    </row>
    <row r="3" spans="1:121">
      <c r="A3" s="18" t="s">
        <v>8</v>
      </c>
      <c r="B3" s="18"/>
      <c r="C3" s="20">
        <f>Допущения!C4</f>
        <v>45901</v>
      </c>
      <c r="D3" s="20">
        <f t="shared" ref="D3:BK3" si="3">DATE(YEAR(C3),MONTH(C3)+1,1)</f>
        <v>45931</v>
      </c>
      <c r="E3" s="20">
        <f t="shared" si="3"/>
        <v>45962</v>
      </c>
      <c r="F3" s="20">
        <f t="shared" si="3"/>
        <v>45992</v>
      </c>
      <c r="G3" s="20">
        <f t="shared" si="3"/>
        <v>46023</v>
      </c>
      <c r="H3" s="20">
        <f t="shared" si="3"/>
        <v>46054</v>
      </c>
      <c r="I3" s="20">
        <f t="shared" si="3"/>
        <v>46082</v>
      </c>
      <c r="J3" s="20">
        <f t="shared" si="3"/>
        <v>46113</v>
      </c>
      <c r="K3" s="20">
        <f t="shared" si="3"/>
        <v>46143</v>
      </c>
      <c r="L3" s="20">
        <f t="shared" si="3"/>
        <v>46174</v>
      </c>
      <c r="M3" s="20">
        <f t="shared" si="3"/>
        <v>46204</v>
      </c>
      <c r="N3" s="20">
        <f t="shared" si="3"/>
        <v>46235</v>
      </c>
      <c r="O3" s="20">
        <f t="shared" si="3"/>
        <v>46266</v>
      </c>
      <c r="P3" s="20">
        <f t="shared" si="3"/>
        <v>46296</v>
      </c>
      <c r="Q3" s="20">
        <f t="shared" si="3"/>
        <v>46327</v>
      </c>
      <c r="R3" s="20">
        <f t="shared" si="3"/>
        <v>46357</v>
      </c>
      <c r="S3" s="20">
        <f t="shared" si="3"/>
        <v>46388</v>
      </c>
      <c r="T3" s="20">
        <f t="shared" si="3"/>
        <v>46419</v>
      </c>
      <c r="U3" s="20">
        <f t="shared" si="3"/>
        <v>46447</v>
      </c>
      <c r="V3" s="20">
        <f t="shared" si="3"/>
        <v>46478</v>
      </c>
      <c r="W3" s="20">
        <f t="shared" si="3"/>
        <v>46508</v>
      </c>
      <c r="X3" s="20">
        <f t="shared" si="3"/>
        <v>46539</v>
      </c>
      <c r="Y3" s="20">
        <f t="shared" si="3"/>
        <v>46569</v>
      </c>
      <c r="Z3" s="20">
        <f t="shared" si="3"/>
        <v>46600</v>
      </c>
      <c r="AA3" s="20">
        <f t="shared" si="3"/>
        <v>46631</v>
      </c>
      <c r="AB3" s="20">
        <f t="shared" si="3"/>
        <v>46661</v>
      </c>
      <c r="AC3" s="20">
        <f t="shared" si="3"/>
        <v>46692</v>
      </c>
      <c r="AD3" s="20">
        <f t="shared" si="3"/>
        <v>46722</v>
      </c>
      <c r="AE3" s="20">
        <f t="shared" si="3"/>
        <v>46753</v>
      </c>
      <c r="AF3" s="20">
        <f t="shared" si="3"/>
        <v>46784</v>
      </c>
      <c r="AG3" s="20">
        <f t="shared" si="3"/>
        <v>46813</v>
      </c>
      <c r="AH3" s="20">
        <f t="shared" si="3"/>
        <v>46844</v>
      </c>
      <c r="AI3" s="20">
        <f t="shared" si="3"/>
        <v>46874</v>
      </c>
      <c r="AJ3" s="20">
        <f t="shared" si="3"/>
        <v>46905</v>
      </c>
      <c r="AK3" s="20">
        <f t="shared" si="3"/>
        <v>46935</v>
      </c>
      <c r="AL3" s="20">
        <f t="shared" si="3"/>
        <v>46966</v>
      </c>
      <c r="AM3" s="20">
        <f t="shared" si="3"/>
        <v>46997</v>
      </c>
      <c r="AN3" s="20">
        <f t="shared" si="3"/>
        <v>47027</v>
      </c>
      <c r="AO3" s="20">
        <f t="shared" si="3"/>
        <v>47058</v>
      </c>
      <c r="AP3" s="20">
        <f t="shared" si="3"/>
        <v>47088</v>
      </c>
      <c r="AQ3" s="20">
        <f t="shared" si="3"/>
        <v>47119</v>
      </c>
      <c r="AR3" s="20">
        <f t="shared" si="3"/>
        <v>47150</v>
      </c>
      <c r="AS3" s="20">
        <f t="shared" si="3"/>
        <v>47178</v>
      </c>
      <c r="AT3" s="20">
        <f t="shared" si="3"/>
        <v>47209</v>
      </c>
      <c r="AU3" s="20">
        <f t="shared" si="3"/>
        <v>47239</v>
      </c>
      <c r="AV3" s="20">
        <f t="shared" si="3"/>
        <v>47270</v>
      </c>
      <c r="AW3" s="20">
        <f t="shared" si="3"/>
        <v>47300</v>
      </c>
      <c r="AX3" s="20">
        <f t="shared" si="3"/>
        <v>47331</v>
      </c>
      <c r="AY3" s="20">
        <f t="shared" si="3"/>
        <v>47362</v>
      </c>
      <c r="AZ3" s="20">
        <f t="shared" si="3"/>
        <v>47392</v>
      </c>
      <c r="BA3" s="20">
        <f t="shared" si="3"/>
        <v>47423</v>
      </c>
      <c r="BB3" s="20">
        <f t="shared" si="3"/>
        <v>47453</v>
      </c>
      <c r="BC3" s="20">
        <f t="shared" si="3"/>
        <v>47484</v>
      </c>
      <c r="BD3" s="20">
        <f t="shared" si="3"/>
        <v>47515</v>
      </c>
      <c r="BE3" s="20">
        <f t="shared" si="3"/>
        <v>47543</v>
      </c>
      <c r="BF3" s="20">
        <f t="shared" si="3"/>
        <v>47574</v>
      </c>
      <c r="BG3" s="20">
        <f t="shared" si="3"/>
        <v>47604</v>
      </c>
      <c r="BH3" s="20">
        <f t="shared" si="3"/>
        <v>47635</v>
      </c>
      <c r="BI3" s="20">
        <f t="shared" si="3"/>
        <v>47665</v>
      </c>
      <c r="BJ3" s="20">
        <f t="shared" si="3"/>
        <v>47696</v>
      </c>
      <c r="BK3" s="9">
        <f t="shared" si="3"/>
        <v>47727</v>
      </c>
      <c r="BL3" s="252"/>
    </row>
    <row r="4" spans="1:121">
      <c r="A4" s="18" t="s">
        <v>10</v>
      </c>
      <c r="B4" s="18"/>
      <c r="C4" s="19">
        <f>D3-C3</f>
        <v>30</v>
      </c>
      <c r="D4" s="19">
        <f>E3-D3</f>
        <v>31</v>
      </c>
      <c r="E4" s="19">
        <f t="shared" ref="E4:BJ4" si="4">F3-E3</f>
        <v>30</v>
      </c>
      <c r="F4" s="19">
        <f t="shared" si="4"/>
        <v>31</v>
      </c>
      <c r="G4" s="19">
        <f t="shared" si="4"/>
        <v>31</v>
      </c>
      <c r="H4" s="19">
        <f t="shared" si="4"/>
        <v>28</v>
      </c>
      <c r="I4" s="19">
        <f t="shared" si="4"/>
        <v>31</v>
      </c>
      <c r="J4" s="19">
        <f t="shared" si="4"/>
        <v>30</v>
      </c>
      <c r="K4" s="19">
        <f t="shared" si="4"/>
        <v>31</v>
      </c>
      <c r="L4" s="19">
        <f t="shared" si="4"/>
        <v>30</v>
      </c>
      <c r="M4" s="19">
        <f t="shared" si="4"/>
        <v>31</v>
      </c>
      <c r="N4" s="19">
        <f t="shared" si="4"/>
        <v>31</v>
      </c>
      <c r="O4" s="19">
        <f t="shared" si="4"/>
        <v>30</v>
      </c>
      <c r="P4" s="19">
        <f t="shared" si="4"/>
        <v>31</v>
      </c>
      <c r="Q4" s="19">
        <f t="shared" si="4"/>
        <v>30</v>
      </c>
      <c r="R4" s="19">
        <f t="shared" si="4"/>
        <v>31</v>
      </c>
      <c r="S4" s="19">
        <f t="shared" si="4"/>
        <v>31</v>
      </c>
      <c r="T4" s="19">
        <f t="shared" si="4"/>
        <v>28</v>
      </c>
      <c r="U4" s="19">
        <f t="shared" si="4"/>
        <v>31</v>
      </c>
      <c r="V4" s="19">
        <f t="shared" si="4"/>
        <v>30</v>
      </c>
      <c r="W4" s="19">
        <f t="shared" si="4"/>
        <v>31</v>
      </c>
      <c r="X4" s="19">
        <f t="shared" si="4"/>
        <v>30</v>
      </c>
      <c r="Y4" s="19">
        <f t="shared" si="4"/>
        <v>31</v>
      </c>
      <c r="Z4" s="19">
        <f t="shared" si="4"/>
        <v>31</v>
      </c>
      <c r="AA4" s="19">
        <f t="shared" si="4"/>
        <v>30</v>
      </c>
      <c r="AB4" s="19">
        <f t="shared" si="4"/>
        <v>31</v>
      </c>
      <c r="AC4" s="19">
        <f t="shared" si="4"/>
        <v>30</v>
      </c>
      <c r="AD4" s="19">
        <f t="shared" si="4"/>
        <v>31</v>
      </c>
      <c r="AE4" s="19">
        <f t="shared" si="4"/>
        <v>31</v>
      </c>
      <c r="AF4" s="19">
        <f t="shared" si="4"/>
        <v>29</v>
      </c>
      <c r="AG4" s="19">
        <f t="shared" si="4"/>
        <v>31</v>
      </c>
      <c r="AH4" s="19">
        <f t="shared" si="4"/>
        <v>30</v>
      </c>
      <c r="AI4" s="19">
        <f t="shared" si="4"/>
        <v>31</v>
      </c>
      <c r="AJ4" s="19">
        <f t="shared" si="4"/>
        <v>30</v>
      </c>
      <c r="AK4" s="19">
        <f t="shared" si="4"/>
        <v>31</v>
      </c>
      <c r="AL4" s="19">
        <f t="shared" si="4"/>
        <v>31</v>
      </c>
      <c r="AM4" s="19">
        <f t="shared" si="4"/>
        <v>30</v>
      </c>
      <c r="AN4" s="19">
        <f t="shared" si="4"/>
        <v>31</v>
      </c>
      <c r="AO4" s="19">
        <f t="shared" si="4"/>
        <v>30</v>
      </c>
      <c r="AP4" s="19">
        <f t="shared" si="4"/>
        <v>31</v>
      </c>
      <c r="AQ4" s="19">
        <f t="shared" si="4"/>
        <v>31</v>
      </c>
      <c r="AR4" s="19">
        <f t="shared" si="4"/>
        <v>28</v>
      </c>
      <c r="AS4" s="19">
        <f t="shared" si="4"/>
        <v>31</v>
      </c>
      <c r="AT4" s="19">
        <f t="shared" si="4"/>
        <v>30</v>
      </c>
      <c r="AU4" s="19">
        <f t="shared" si="4"/>
        <v>31</v>
      </c>
      <c r="AV4" s="19">
        <f t="shared" si="4"/>
        <v>30</v>
      </c>
      <c r="AW4" s="19">
        <f t="shared" si="4"/>
        <v>31</v>
      </c>
      <c r="AX4" s="19">
        <f t="shared" si="4"/>
        <v>31</v>
      </c>
      <c r="AY4" s="19">
        <f t="shared" si="4"/>
        <v>30</v>
      </c>
      <c r="AZ4" s="19">
        <f t="shared" si="4"/>
        <v>31</v>
      </c>
      <c r="BA4" s="19">
        <f t="shared" si="4"/>
        <v>30</v>
      </c>
      <c r="BB4" s="19">
        <f t="shared" si="4"/>
        <v>31</v>
      </c>
      <c r="BC4" s="19">
        <f t="shared" si="4"/>
        <v>31</v>
      </c>
      <c r="BD4" s="19">
        <f t="shared" si="4"/>
        <v>28</v>
      </c>
      <c r="BE4" s="19">
        <f t="shared" si="4"/>
        <v>31</v>
      </c>
      <c r="BF4" s="19">
        <f t="shared" si="4"/>
        <v>30</v>
      </c>
      <c r="BG4" s="19">
        <f t="shared" si="4"/>
        <v>31</v>
      </c>
      <c r="BH4" s="19">
        <f t="shared" si="4"/>
        <v>30</v>
      </c>
      <c r="BI4" s="19">
        <f t="shared" si="4"/>
        <v>31</v>
      </c>
      <c r="BJ4" s="19">
        <f t="shared" si="4"/>
        <v>31</v>
      </c>
    </row>
    <row r="5" spans="1:121">
      <c r="A5" s="18" t="s">
        <v>9</v>
      </c>
      <c r="B5" s="18"/>
      <c r="C5" s="19">
        <v>1</v>
      </c>
      <c r="D5" s="19">
        <f>C5+1</f>
        <v>2</v>
      </c>
      <c r="E5" s="19">
        <f t="shared" ref="E5:BJ5" si="5">D5+1</f>
        <v>3</v>
      </c>
      <c r="F5" s="19">
        <f t="shared" si="5"/>
        <v>4</v>
      </c>
      <c r="G5" s="19">
        <f t="shared" si="5"/>
        <v>5</v>
      </c>
      <c r="H5" s="19">
        <f t="shared" si="5"/>
        <v>6</v>
      </c>
      <c r="I5" s="19">
        <f t="shared" si="5"/>
        <v>7</v>
      </c>
      <c r="J5" s="19">
        <f t="shared" si="5"/>
        <v>8</v>
      </c>
      <c r="K5" s="19">
        <f t="shared" si="5"/>
        <v>9</v>
      </c>
      <c r="L5" s="19">
        <f t="shared" si="5"/>
        <v>10</v>
      </c>
      <c r="M5" s="19">
        <f t="shared" si="5"/>
        <v>11</v>
      </c>
      <c r="N5" s="19">
        <f t="shared" si="5"/>
        <v>12</v>
      </c>
      <c r="O5" s="19">
        <f t="shared" si="5"/>
        <v>13</v>
      </c>
      <c r="P5" s="19">
        <f t="shared" si="5"/>
        <v>14</v>
      </c>
      <c r="Q5" s="19">
        <f t="shared" si="5"/>
        <v>15</v>
      </c>
      <c r="R5" s="19">
        <f t="shared" si="5"/>
        <v>16</v>
      </c>
      <c r="S5" s="19">
        <f t="shared" si="5"/>
        <v>17</v>
      </c>
      <c r="T5" s="19">
        <f t="shared" si="5"/>
        <v>18</v>
      </c>
      <c r="U5" s="19">
        <f t="shared" si="5"/>
        <v>19</v>
      </c>
      <c r="V5" s="19">
        <f t="shared" si="5"/>
        <v>20</v>
      </c>
      <c r="W5" s="19">
        <f t="shared" si="5"/>
        <v>21</v>
      </c>
      <c r="X5" s="19">
        <f t="shared" si="5"/>
        <v>22</v>
      </c>
      <c r="Y5" s="19">
        <f t="shared" si="5"/>
        <v>23</v>
      </c>
      <c r="Z5" s="19">
        <f t="shared" si="5"/>
        <v>24</v>
      </c>
      <c r="AA5" s="19">
        <f t="shared" si="5"/>
        <v>25</v>
      </c>
      <c r="AB5" s="19">
        <f t="shared" si="5"/>
        <v>26</v>
      </c>
      <c r="AC5" s="19">
        <f t="shared" si="5"/>
        <v>27</v>
      </c>
      <c r="AD5" s="19">
        <f t="shared" si="5"/>
        <v>28</v>
      </c>
      <c r="AE5" s="19">
        <f t="shared" si="5"/>
        <v>29</v>
      </c>
      <c r="AF5" s="19">
        <f t="shared" si="5"/>
        <v>30</v>
      </c>
      <c r="AG5" s="19">
        <f t="shared" si="5"/>
        <v>31</v>
      </c>
      <c r="AH5" s="19">
        <f t="shared" si="5"/>
        <v>32</v>
      </c>
      <c r="AI5" s="19">
        <f t="shared" si="5"/>
        <v>33</v>
      </c>
      <c r="AJ5" s="19">
        <f>AI5+1</f>
        <v>34</v>
      </c>
      <c r="AK5" s="19">
        <f t="shared" si="5"/>
        <v>35</v>
      </c>
      <c r="AL5" s="19">
        <f t="shared" si="5"/>
        <v>36</v>
      </c>
      <c r="AM5" s="19">
        <f t="shared" si="5"/>
        <v>37</v>
      </c>
      <c r="AN5" s="19">
        <f t="shared" si="5"/>
        <v>38</v>
      </c>
      <c r="AO5" s="19">
        <f t="shared" si="5"/>
        <v>39</v>
      </c>
      <c r="AP5" s="19">
        <f t="shared" si="5"/>
        <v>40</v>
      </c>
      <c r="AQ5" s="19">
        <f t="shared" si="5"/>
        <v>41</v>
      </c>
      <c r="AR5" s="19">
        <f t="shared" si="5"/>
        <v>42</v>
      </c>
      <c r="AS5" s="19">
        <f t="shared" si="5"/>
        <v>43</v>
      </c>
      <c r="AT5" s="19">
        <f t="shared" si="5"/>
        <v>44</v>
      </c>
      <c r="AU5" s="19">
        <f t="shared" si="5"/>
        <v>45</v>
      </c>
      <c r="AV5" s="19">
        <f t="shared" si="5"/>
        <v>46</v>
      </c>
      <c r="AW5" s="19">
        <f t="shared" si="5"/>
        <v>47</v>
      </c>
      <c r="AX5" s="19">
        <f t="shared" si="5"/>
        <v>48</v>
      </c>
      <c r="AY5" s="19">
        <f t="shared" si="5"/>
        <v>49</v>
      </c>
      <c r="AZ5" s="19">
        <f t="shared" si="5"/>
        <v>50</v>
      </c>
      <c r="BA5" s="19">
        <f t="shared" si="5"/>
        <v>51</v>
      </c>
      <c r="BB5" s="19">
        <f t="shared" si="5"/>
        <v>52</v>
      </c>
      <c r="BC5" s="19">
        <f t="shared" si="5"/>
        <v>53</v>
      </c>
      <c r="BD5" s="19">
        <f t="shared" si="5"/>
        <v>54</v>
      </c>
      <c r="BE5" s="19">
        <f t="shared" si="5"/>
        <v>55</v>
      </c>
      <c r="BF5" s="19">
        <f t="shared" si="5"/>
        <v>56</v>
      </c>
      <c r="BG5" s="19">
        <f t="shared" si="5"/>
        <v>57</v>
      </c>
      <c r="BH5" s="19">
        <f t="shared" si="5"/>
        <v>58</v>
      </c>
      <c r="BI5" s="19">
        <f t="shared" si="5"/>
        <v>59</v>
      </c>
      <c r="BJ5" s="19">
        <f t="shared" si="5"/>
        <v>60</v>
      </c>
    </row>
    <row r="6" spans="1:121"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L6" s="4"/>
      <c r="BN6" s="4"/>
      <c r="BP6" s="4"/>
      <c r="BQ6" s="4"/>
      <c r="BR6" s="4"/>
      <c r="BS6" s="4"/>
      <c r="BU6" s="4"/>
      <c r="BW6" s="4"/>
      <c r="BY6" s="4"/>
      <c r="CA6" s="4"/>
      <c r="CC6" s="4"/>
      <c r="CE6" s="4"/>
      <c r="CG6" s="4"/>
      <c r="CI6" s="4"/>
      <c r="CK6" s="4"/>
      <c r="CM6" s="4"/>
      <c r="CO6" s="4"/>
      <c r="CQ6" s="4"/>
      <c r="CS6" s="4"/>
      <c r="CU6" s="4"/>
      <c r="CW6" s="4"/>
      <c r="CY6" s="4"/>
      <c r="DA6" s="4"/>
      <c r="DC6" s="4"/>
      <c r="DE6" s="4"/>
      <c r="DG6" s="4"/>
      <c r="DI6" s="4"/>
      <c r="DK6" s="4"/>
      <c r="DM6" s="4"/>
      <c r="DO6" s="4"/>
      <c r="DQ6" s="4"/>
    </row>
    <row r="7" spans="1:121">
      <c r="A7" s="18" t="s">
        <v>337</v>
      </c>
      <c r="B7" s="18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</row>
    <row r="8" spans="1:121">
      <c r="A8" s="253" t="s">
        <v>338</v>
      </c>
      <c r="B8" s="254">
        <f>BK25</f>
        <v>150000</v>
      </c>
      <c r="C8" s="221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</row>
    <row r="9" spans="1:121">
      <c r="A9" s="30" t="s">
        <v>339</v>
      </c>
      <c r="B9" s="255">
        <v>0.25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</row>
    <row r="10" spans="1:121">
      <c r="A10" s="30" t="s">
        <v>340</v>
      </c>
      <c r="B10" s="256">
        <f>B9*30/360</f>
        <v>2.0833333333333332E-2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121">
      <c r="A11" s="30" t="s">
        <v>341</v>
      </c>
      <c r="B11" s="257">
        <f>B12/12</f>
        <v>5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121">
      <c r="A12" s="30" t="s">
        <v>342</v>
      </c>
      <c r="B12" s="258">
        <v>60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121">
      <c r="A13" s="30" t="s">
        <v>343</v>
      </c>
      <c r="B13" s="258" t="s">
        <v>344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121">
      <c r="A14" s="30" t="s">
        <v>345</v>
      </c>
      <c r="B14" s="258">
        <v>0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121">
      <c r="A15" s="30" t="s">
        <v>346</v>
      </c>
      <c r="B15" s="258">
        <v>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121"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73"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73">
      <c r="A18" s="18" t="s">
        <v>347</v>
      </c>
      <c r="B18" s="18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73" ht="16.5" customHeight="1">
      <c r="A19" s="30" t="s">
        <v>348</v>
      </c>
      <c r="B19" s="30"/>
      <c r="C19" s="259">
        <f>C27</f>
        <v>-1277.6985064729411</v>
      </c>
      <c r="D19" s="259">
        <f t="shared" ref="D19:BJ19" si="6">D27</f>
        <v>-1304.3172253577936</v>
      </c>
      <c r="E19" s="259">
        <f t="shared" si="6"/>
        <v>-1331.4905008860812</v>
      </c>
      <c r="F19" s="259">
        <f t="shared" si="6"/>
        <v>-1359.2298863212077</v>
      </c>
      <c r="G19" s="259">
        <f t="shared" si="6"/>
        <v>-1387.5471756195666</v>
      </c>
      <c r="H19" s="259">
        <f t="shared" si="6"/>
        <v>-1416.454408444974</v>
      </c>
      <c r="I19" s="259">
        <f t="shared" si="6"/>
        <v>-1445.9638752875776</v>
      </c>
      <c r="J19" s="259">
        <f t="shared" si="6"/>
        <v>-1476.0881226894021</v>
      </c>
      <c r="K19" s="259">
        <f t="shared" si="6"/>
        <v>-1506.8399585787649</v>
      </c>
      <c r="L19" s="259">
        <f t="shared" si="6"/>
        <v>-1538.2324577158224</v>
      </c>
      <c r="M19" s="259">
        <f t="shared" si="6"/>
        <v>-1570.2789672515687</v>
      </c>
      <c r="N19" s="259">
        <f t="shared" si="6"/>
        <v>-1602.9931124026434</v>
      </c>
      <c r="O19" s="259">
        <f t="shared" si="6"/>
        <v>-1636.3888022443646</v>
      </c>
      <c r="P19" s="259">
        <f t="shared" si="6"/>
        <v>-1670.4802356244556</v>
      </c>
      <c r="Q19" s="259">
        <f t="shared" si="6"/>
        <v>-1705.2819071999652</v>
      </c>
      <c r="R19" s="259">
        <f t="shared" si="6"/>
        <v>-1740.8086135999642</v>
      </c>
      <c r="S19" s="259">
        <f t="shared" si="6"/>
        <v>-1777.0754597166306</v>
      </c>
      <c r="T19" s="259">
        <f t="shared" si="6"/>
        <v>-1814.0978651273938</v>
      </c>
      <c r="U19" s="259">
        <f t="shared" si="6"/>
        <v>-1851.8915706508808</v>
      </c>
      <c r="V19" s="259">
        <f t="shared" si="6"/>
        <v>-1890.472645039441</v>
      </c>
      <c r="W19" s="259">
        <f t="shared" si="6"/>
        <v>-1929.8574918110958</v>
      </c>
      <c r="X19" s="259">
        <f t="shared" si="6"/>
        <v>-1970.0628562238271</v>
      </c>
      <c r="Y19" s="259">
        <f t="shared" si="6"/>
        <v>-2011.1058323951568</v>
      </c>
      <c r="Z19" s="259">
        <f t="shared" si="6"/>
        <v>-2053.0038705700558</v>
      </c>
      <c r="AA19" s="259">
        <f t="shared" si="6"/>
        <v>-2095.7747845402655</v>
      </c>
      <c r="AB19" s="259">
        <f t="shared" si="6"/>
        <v>-2139.4367592181875</v>
      </c>
      <c r="AC19" s="259">
        <f t="shared" si="6"/>
        <v>-2184.0083583685664</v>
      </c>
      <c r="AD19" s="259">
        <f t="shared" si="6"/>
        <v>-2229.5085325012451</v>
      </c>
      <c r="AE19" s="259">
        <f t="shared" si="6"/>
        <v>-2275.9566269283541</v>
      </c>
      <c r="AF19" s="259">
        <f t="shared" si="6"/>
        <v>-2323.3723899893612</v>
      </c>
      <c r="AG19" s="259">
        <f t="shared" si="6"/>
        <v>-2371.7759814474734</v>
      </c>
      <c r="AH19" s="259">
        <f t="shared" si="6"/>
        <v>-2421.1879810609626</v>
      </c>
      <c r="AI19" s="259">
        <f t="shared" si="6"/>
        <v>-2471.6293973330653</v>
      </c>
      <c r="AJ19" s="259">
        <f t="shared" si="6"/>
        <v>-2523.1216764441715</v>
      </c>
      <c r="AK19" s="259">
        <f t="shared" si="6"/>
        <v>-2575.6867113700914</v>
      </c>
      <c r="AL19" s="259">
        <f t="shared" si="6"/>
        <v>-2629.3468511903015</v>
      </c>
      <c r="AM19" s="259">
        <f t="shared" si="6"/>
        <v>-2684.1249105900993</v>
      </c>
      <c r="AN19" s="259">
        <f t="shared" si="6"/>
        <v>-2740.0441795607262</v>
      </c>
      <c r="AO19" s="259">
        <f t="shared" si="6"/>
        <v>-2797.1284333015747</v>
      </c>
      <c r="AP19" s="259">
        <f t="shared" si="6"/>
        <v>-2855.4019423286909</v>
      </c>
      <c r="AQ19" s="259">
        <f t="shared" si="6"/>
        <v>-2914.889482793873</v>
      </c>
      <c r="AR19" s="259">
        <f t="shared" si="6"/>
        <v>-2975.6163470187448</v>
      </c>
      <c r="AS19" s="259">
        <f t="shared" si="6"/>
        <v>-3037.6083542483016</v>
      </c>
      <c r="AT19" s="259">
        <f t="shared" si="6"/>
        <v>-3100.8918616284745</v>
      </c>
      <c r="AU19" s="259">
        <f t="shared" si="6"/>
        <v>-3165.4937754124012</v>
      </c>
      <c r="AV19" s="259">
        <f t="shared" si="6"/>
        <v>-3231.4415624001599</v>
      </c>
      <c r="AW19" s="259">
        <f t="shared" si="6"/>
        <v>-3298.7632616168294</v>
      </c>
      <c r="AX19" s="259">
        <f t="shared" si="6"/>
        <v>-3367.4874962338472</v>
      </c>
      <c r="AY19" s="259">
        <f t="shared" si="6"/>
        <v>-3437.6434857387185</v>
      </c>
      <c r="AZ19" s="259">
        <f t="shared" si="6"/>
        <v>-3509.2610583582755</v>
      </c>
      <c r="BA19" s="259">
        <f t="shared" si="6"/>
        <v>-3582.3706637407395</v>
      </c>
      <c r="BB19" s="259">
        <f t="shared" si="6"/>
        <v>-3657.003385902005</v>
      </c>
      <c r="BC19" s="259">
        <f t="shared" si="6"/>
        <v>-3733.1909564416296</v>
      </c>
      <c r="BD19" s="259">
        <f t="shared" si="6"/>
        <v>-3810.9657680341643</v>
      </c>
      <c r="BE19" s="259">
        <f t="shared" si="6"/>
        <v>-3890.3608882015424</v>
      </c>
      <c r="BF19" s="259">
        <f t="shared" si="6"/>
        <v>-3971.4100733724081</v>
      </c>
      <c r="BG19" s="259">
        <f t="shared" si="6"/>
        <v>-4054.1477832343326</v>
      </c>
      <c r="BH19" s="259">
        <f t="shared" si="6"/>
        <v>-4138.6091953850482</v>
      </c>
      <c r="BI19" s="259">
        <f t="shared" si="6"/>
        <v>-4224.8302202889026</v>
      </c>
      <c r="BJ19" s="259">
        <f t="shared" si="6"/>
        <v>-4312.8475165449217</v>
      </c>
      <c r="BM19" s="25">
        <f t="shared" ref="BM19:BR21" si="7">SUMIF($C$2:$BJ$2,BM$2,$C19:$BJ19)</f>
        <v>-5272.7361190380234</v>
      </c>
      <c r="BN19" s="25">
        <f t="shared" si="7"/>
        <v>-18697.357636659071</v>
      </c>
      <c r="BO19" s="25">
        <f t="shared" si="7"/>
        <v>-23946.296026162745</v>
      </c>
      <c r="BP19" s="25">
        <f t="shared" si="7"/>
        <v>-30668.777081544871</v>
      </c>
      <c r="BQ19" s="25">
        <f t="shared" si="7"/>
        <v>-39278.470735092371</v>
      </c>
      <c r="BR19" s="25">
        <f t="shared" si="7"/>
        <v>-32136.362401502949</v>
      </c>
      <c r="BU19" s="6"/>
    </row>
    <row r="20" spans="1:73" ht="15.75" customHeight="1">
      <c r="A20" s="30" t="s">
        <v>349</v>
      </c>
      <c r="B20" s="30"/>
      <c r="C20" s="259">
        <f t="shared" ref="C20:BJ20" si="8">C26</f>
        <v>-3125.0000000000005</v>
      </c>
      <c r="D20" s="259">
        <f t="shared" si="8"/>
        <v>-3098.3812811151479</v>
      </c>
      <c r="E20" s="259">
        <f t="shared" si="8"/>
        <v>-3071.2080055868601</v>
      </c>
      <c r="F20" s="259">
        <f t="shared" si="8"/>
        <v>-3043.4686201517338</v>
      </c>
      <c r="G20" s="259">
        <f t="shared" si="8"/>
        <v>-3015.1513308533749</v>
      </c>
      <c r="H20" s="259">
        <f t="shared" si="8"/>
        <v>-2986.2440980279675</v>
      </c>
      <c r="I20" s="259">
        <f t="shared" si="8"/>
        <v>-2956.7346311853639</v>
      </c>
      <c r="J20" s="259">
        <f t="shared" si="8"/>
        <v>-2926.6103837835394</v>
      </c>
      <c r="K20" s="259">
        <f t="shared" si="8"/>
        <v>-2895.8585478941768</v>
      </c>
      <c r="L20" s="259">
        <f t="shared" si="8"/>
        <v>-2864.4660487571191</v>
      </c>
      <c r="M20" s="259">
        <f t="shared" si="8"/>
        <v>-2832.4195392213728</v>
      </c>
      <c r="N20" s="259">
        <f t="shared" si="8"/>
        <v>-2799.7053940702981</v>
      </c>
      <c r="O20" s="259">
        <f t="shared" si="8"/>
        <v>-2766.3097042285772</v>
      </c>
      <c r="P20" s="259">
        <f t="shared" si="8"/>
        <v>-2732.2182708484861</v>
      </c>
      <c r="Q20" s="259">
        <f t="shared" si="8"/>
        <v>-2697.4165992729763</v>
      </c>
      <c r="R20" s="259">
        <f t="shared" si="8"/>
        <v>-2661.8898928729773</v>
      </c>
      <c r="S20" s="259">
        <f t="shared" si="8"/>
        <v>-2625.6230467563109</v>
      </c>
      <c r="T20" s="259">
        <f t="shared" si="8"/>
        <v>-2588.600641345548</v>
      </c>
      <c r="U20" s="259">
        <f t="shared" si="8"/>
        <v>-2550.806935822061</v>
      </c>
      <c r="V20" s="259">
        <f t="shared" si="8"/>
        <v>-2512.2258614335005</v>
      </c>
      <c r="W20" s="259">
        <f t="shared" si="8"/>
        <v>-2472.8410146618457</v>
      </c>
      <c r="X20" s="259">
        <f t="shared" si="8"/>
        <v>-2432.6356502491144</v>
      </c>
      <c r="Y20" s="259">
        <f t="shared" si="8"/>
        <v>-2391.592674077785</v>
      </c>
      <c r="Z20" s="259">
        <f t="shared" si="8"/>
        <v>-2349.6946359028857</v>
      </c>
      <c r="AA20" s="259">
        <f t="shared" si="8"/>
        <v>-2306.923721932676</v>
      </c>
      <c r="AB20" s="259">
        <f t="shared" si="8"/>
        <v>-2263.261747254754</v>
      </c>
      <c r="AC20" s="259">
        <f t="shared" si="8"/>
        <v>-2218.6901481043751</v>
      </c>
      <c r="AD20" s="259">
        <f t="shared" si="8"/>
        <v>-2173.1899739716964</v>
      </c>
      <c r="AE20" s="259">
        <f t="shared" si="8"/>
        <v>-2126.7418795445874</v>
      </c>
      <c r="AF20" s="259">
        <f t="shared" si="8"/>
        <v>-2079.3261164835803</v>
      </c>
      <c r="AG20" s="259">
        <f t="shared" si="8"/>
        <v>-2030.9225250254681</v>
      </c>
      <c r="AH20" s="259">
        <f t="shared" si="8"/>
        <v>-1981.510525411979</v>
      </c>
      <c r="AI20" s="259">
        <f t="shared" si="8"/>
        <v>-1931.0691091398762</v>
      </c>
      <c r="AJ20" s="259">
        <f t="shared" si="8"/>
        <v>-1879.57683002877</v>
      </c>
      <c r="AK20" s="259">
        <f t="shared" si="8"/>
        <v>-1827.0117951028501</v>
      </c>
      <c r="AL20" s="259">
        <f t="shared" si="8"/>
        <v>-1773.35165528264</v>
      </c>
      <c r="AM20" s="259">
        <f t="shared" si="8"/>
        <v>-1718.5735958828423</v>
      </c>
      <c r="AN20" s="259">
        <f t="shared" si="8"/>
        <v>-1662.6543269122153</v>
      </c>
      <c r="AO20" s="259">
        <f t="shared" si="8"/>
        <v>-1605.5700731713669</v>
      </c>
      <c r="AP20" s="259">
        <f t="shared" si="8"/>
        <v>-1547.2965641442506</v>
      </c>
      <c r="AQ20" s="259">
        <f t="shared" si="8"/>
        <v>-1487.8090236790686</v>
      </c>
      <c r="AR20" s="259">
        <f t="shared" si="8"/>
        <v>-1427.0821594541967</v>
      </c>
      <c r="AS20" s="259">
        <f t="shared" si="8"/>
        <v>-1365.09015222464</v>
      </c>
      <c r="AT20" s="259">
        <f t="shared" si="8"/>
        <v>-1301.806644844467</v>
      </c>
      <c r="AU20" s="259">
        <f t="shared" si="8"/>
        <v>-1237.2047310605403</v>
      </c>
      <c r="AV20" s="259">
        <f t="shared" si="8"/>
        <v>-1171.2569440727816</v>
      </c>
      <c r="AW20" s="259">
        <f t="shared" si="8"/>
        <v>-1103.9352448561121</v>
      </c>
      <c r="AX20" s="259">
        <f t="shared" si="8"/>
        <v>-1035.2110102390943</v>
      </c>
      <c r="AY20" s="259">
        <f t="shared" si="8"/>
        <v>-965.05502073422304</v>
      </c>
      <c r="AZ20" s="259">
        <f t="shared" si="8"/>
        <v>-893.43744811466604</v>
      </c>
      <c r="BA20" s="259">
        <f t="shared" si="8"/>
        <v>-820.32784273220204</v>
      </c>
      <c r="BB20" s="259">
        <f t="shared" si="8"/>
        <v>-745.69512057093652</v>
      </c>
      <c r="BC20" s="259">
        <f t="shared" si="8"/>
        <v>-669.50755003131189</v>
      </c>
      <c r="BD20" s="259">
        <f t="shared" si="8"/>
        <v>-591.73273843877723</v>
      </c>
      <c r="BE20" s="259">
        <f t="shared" si="8"/>
        <v>-512.33761827139915</v>
      </c>
      <c r="BF20" s="259">
        <f t="shared" si="8"/>
        <v>-431.28843310053344</v>
      </c>
      <c r="BG20" s="259">
        <f t="shared" si="8"/>
        <v>-348.55072323860895</v>
      </c>
      <c r="BH20" s="259">
        <f t="shared" si="8"/>
        <v>-264.08931108789329</v>
      </c>
      <c r="BI20" s="259">
        <f t="shared" si="8"/>
        <v>-177.86828618403888</v>
      </c>
      <c r="BJ20" s="259">
        <f t="shared" si="8"/>
        <v>-89.850989928019771</v>
      </c>
      <c r="BM20" s="25">
        <f t="shared" si="7"/>
        <v>-12338.057906853743</v>
      </c>
      <c r="BN20" s="25">
        <f t="shared" si="7"/>
        <v>-34135.024441016227</v>
      </c>
      <c r="BO20" s="25">
        <f t="shared" si="7"/>
        <v>-28886.086051512553</v>
      </c>
      <c r="BP20" s="25">
        <f t="shared" si="7"/>
        <v>-22163.604996130427</v>
      </c>
      <c r="BQ20" s="25">
        <f t="shared" si="7"/>
        <v>-13553.911342582927</v>
      </c>
      <c r="BR20" s="25">
        <f t="shared" si="7"/>
        <v>-3085.2256502805826</v>
      </c>
      <c r="BU20" s="6"/>
    </row>
    <row r="21" spans="1:73" ht="15.75" customHeight="1">
      <c r="A21" s="34" t="s">
        <v>350</v>
      </c>
      <c r="B21" s="34"/>
      <c r="C21" s="260">
        <f>SUM(C19:C20)</f>
        <v>-4402.6985064729415</v>
      </c>
      <c r="D21" s="260">
        <f t="shared" ref="D21:BJ21" si="9">SUM(D19:D20)</f>
        <v>-4402.6985064729415</v>
      </c>
      <c r="E21" s="260">
        <f t="shared" si="9"/>
        <v>-4402.6985064729415</v>
      </c>
      <c r="F21" s="260">
        <f t="shared" si="9"/>
        <v>-4402.6985064729415</v>
      </c>
      <c r="G21" s="260">
        <f t="shared" si="9"/>
        <v>-4402.6985064729415</v>
      </c>
      <c r="H21" s="260">
        <f t="shared" si="9"/>
        <v>-4402.6985064729415</v>
      </c>
      <c r="I21" s="260">
        <f t="shared" si="9"/>
        <v>-4402.6985064729415</v>
      </c>
      <c r="J21" s="260">
        <f t="shared" si="9"/>
        <v>-4402.6985064729415</v>
      </c>
      <c r="K21" s="260">
        <f t="shared" si="9"/>
        <v>-4402.6985064729415</v>
      </c>
      <c r="L21" s="260">
        <f t="shared" si="9"/>
        <v>-4402.6985064729415</v>
      </c>
      <c r="M21" s="260">
        <f t="shared" si="9"/>
        <v>-4402.6985064729415</v>
      </c>
      <c r="N21" s="260">
        <f t="shared" si="9"/>
        <v>-4402.6985064729415</v>
      </c>
      <c r="O21" s="260">
        <f t="shared" si="9"/>
        <v>-4402.6985064729415</v>
      </c>
      <c r="P21" s="260">
        <f t="shared" si="9"/>
        <v>-4402.6985064729415</v>
      </c>
      <c r="Q21" s="260">
        <f t="shared" si="9"/>
        <v>-4402.6985064729415</v>
      </c>
      <c r="R21" s="260">
        <f t="shared" si="9"/>
        <v>-4402.6985064729415</v>
      </c>
      <c r="S21" s="260">
        <f t="shared" si="9"/>
        <v>-4402.6985064729415</v>
      </c>
      <c r="T21" s="260">
        <f t="shared" si="9"/>
        <v>-4402.6985064729415</v>
      </c>
      <c r="U21" s="260">
        <f t="shared" si="9"/>
        <v>-4402.6985064729415</v>
      </c>
      <c r="V21" s="260">
        <f t="shared" si="9"/>
        <v>-4402.6985064729415</v>
      </c>
      <c r="W21" s="260">
        <f t="shared" si="9"/>
        <v>-4402.6985064729415</v>
      </c>
      <c r="X21" s="260">
        <f t="shared" si="9"/>
        <v>-4402.6985064729415</v>
      </c>
      <c r="Y21" s="260">
        <f t="shared" si="9"/>
        <v>-4402.6985064729415</v>
      </c>
      <c r="Z21" s="260">
        <f t="shared" si="9"/>
        <v>-4402.6985064729415</v>
      </c>
      <c r="AA21" s="260">
        <f t="shared" si="9"/>
        <v>-4402.6985064729415</v>
      </c>
      <c r="AB21" s="260">
        <f t="shared" si="9"/>
        <v>-4402.6985064729415</v>
      </c>
      <c r="AC21" s="260">
        <f t="shared" si="9"/>
        <v>-4402.6985064729415</v>
      </c>
      <c r="AD21" s="260">
        <f t="shared" si="9"/>
        <v>-4402.6985064729415</v>
      </c>
      <c r="AE21" s="260">
        <f t="shared" si="9"/>
        <v>-4402.6985064729415</v>
      </c>
      <c r="AF21" s="260">
        <f t="shared" si="9"/>
        <v>-4402.6985064729415</v>
      </c>
      <c r="AG21" s="260">
        <f t="shared" si="9"/>
        <v>-4402.6985064729415</v>
      </c>
      <c r="AH21" s="260">
        <f t="shared" si="9"/>
        <v>-4402.6985064729415</v>
      </c>
      <c r="AI21" s="260">
        <f t="shared" si="9"/>
        <v>-4402.6985064729415</v>
      </c>
      <c r="AJ21" s="260">
        <f t="shared" si="9"/>
        <v>-4402.6985064729415</v>
      </c>
      <c r="AK21" s="260">
        <f t="shared" si="9"/>
        <v>-4402.6985064729415</v>
      </c>
      <c r="AL21" s="260">
        <f t="shared" si="9"/>
        <v>-4402.6985064729415</v>
      </c>
      <c r="AM21" s="260">
        <f t="shared" si="9"/>
        <v>-4402.6985064729415</v>
      </c>
      <c r="AN21" s="260">
        <f t="shared" si="9"/>
        <v>-4402.6985064729415</v>
      </c>
      <c r="AO21" s="260">
        <f t="shared" si="9"/>
        <v>-4402.6985064729415</v>
      </c>
      <c r="AP21" s="260">
        <f t="shared" si="9"/>
        <v>-4402.6985064729415</v>
      </c>
      <c r="AQ21" s="260">
        <f t="shared" si="9"/>
        <v>-4402.6985064729415</v>
      </c>
      <c r="AR21" s="260">
        <f t="shared" si="9"/>
        <v>-4402.6985064729415</v>
      </c>
      <c r="AS21" s="260">
        <f t="shared" si="9"/>
        <v>-4402.6985064729415</v>
      </c>
      <c r="AT21" s="260">
        <f t="shared" si="9"/>
        <v>-4402.6985064729415</v>
      </c>
      <c r="AU21" s="260">
        <f t="shared" si="9"/>
        <v>-4402.6985064729415</v>
      </c>
      <c r="AV21" s="260">
        <f t="shared" si="9"/>
        <v>-4402.6985064729415</v>
      </c>
      <c r="AW21" s="260">
        <f t="shared" si="9"/>
        <v>-4402.6985064729415</v>
      </c>
      <c r="AX21" s="260">
        <f t="shared" si="9"/>
        <v>-4402.6985064729415</v>
      </c>
      <c r="AY21" s="260">
        <f t="shared" si="9"/>
        <v>-4402.6985064729415</v>
      </c>
      <c r="AZ21" s="260">
        <f t="shared" si="9"/>
        <v>-4402.6985064729415</v>
      </c>
      <c r="BA21" s="260">
        <f t="shared" si="9"/>
        <v>-4402.6985064729415</v>
      </c>
      <c r="BB21" s="260">
        <f t="shared" si="9"/>
        <v>-4402.6985064729415</v>
      </c>
      <c r="BC21" s="260">
        <f t="shared" si="9"/>
        <v>-4402.6985064729415</v>
      </c>
      <c r="BD21" s="260">
        <f t="shared" si="9"/>
        <v>-4402.6985064729415</v>
      </c>
      <c r="BE21" s="260">
        <f t="shared" si="9"/>
        <v>-4402.6985064729415</v>
      </c>
      <c r="BF21" s="260">
        <f t="shared" si="9"/>
        <v>-4402.6985064729415</v>
      </c>
      <c r="BG21" s="260">
        <f t="shared" si="9"/>
        <v>-4402.6985064729415</v>
      </c>
      <c r="BH21" s="260">
        <f t="shared" si="9"/>
        <v>-4402.6985064729415</v>
      </c>
      <c r="BI21" s="260">
        <f t="shared" si="9"/>
        <v>-4402.6985064729415</v>
      </c>
      <c r="BJ21" s="260">
        <f t="shared" si="9"/>
        <v>-4402.6985064729415</v>
      </c>
      <c r="BM21" s="24">
        <f t="shared" si="7"/>
        <v>-17610.794025891766</v>
      </c>
      <c r="BN21" s="24">
        <f t="shared" si="7"/>
        <v>-52832.382077675284</v>
      </c>
      <c r="BO21" s="24">
        <f t="shared" si="7"/>
        <v>-52832.382077675284</v>
      </c>
      <c r="BP21" s="24">
        <f t="shared" si="7"/>
        <v>-52832.382077675284</v>
      </c>
      <c r="BQ21" s="24">
        <f t="shared" si="7"/>
        <v>-52832.382077675284</v>
      </c>
      <c r="BR21" s="24">
        <f t="shared" si="7"/>
        <v>-35221.588051783532</v>
      </c>
    </row>
    <row r="22" spans="1:73">
      <c r="A22" s="4"/>
      <c r="B22" s="8"/>
      <c r="BM22" s="32"/>
      <c r="BN22" s="32"/>
      <c r="BO22" s="32"/>
    </row>
    <row r="23" spans="1:73">
      <c r="A23" s="4"/>
      <c r="B23" s="8"/>
      <c r="BK23" s="24"/>
      <c r="BL23" s="119"/>
      <c r="BN23" s="32"/>
      <c r="BO23" s="32"/>
    </row>
    <row r="24" spans="1:73">
      <c r="A24" s="261" t="s">
        <v>351</v>
      </c>
      <c r="B24" s="27"/>
      <c r="C24" s="262">
        <f>B28</f>
        <v>0</v>
      </c>
      <c r="D24" s="262">
        <f t="shared" ref="D24:BJ24" si="10">C28</f>
        <v>148722.30149352705</v>
      </c>
      <c r="E24" s="262">
        <f t="shared" si="10"/>
        <v>147417.98426816927</v>
      </c>
      <c r="F24" s="262">
        <f t="shared" si="10"/>
        <v>146086.49376728319</v>
      </c>
      <c r="G24" s="262">
        <f t="shared" si="10"/>
        <v>144727.26388096198</v>
      </c>
      <c r="H24" s="262">
        <f t="shared" si="10"/>
        <v>143339.71670534241</v>
      </c>
      <c r="I24" s="262">
        <f t="shared" si="10"/>
        <v>141923.26229689742</v>
      </c>
      <c r="J24" s="262">
        <f t="shared" si="10"/>
        <v>140477.29842160983</v>
      </c>
      <c r="K24" s="262">
        <f t="shared" si="10"/>
        <v>139001.21029892043</v>
      </c>
      <c r="L24" s="262">
        <f t="shared" si="10"/>
        <v>137494.37034034167</v>
      </c>
      <c r="M24" s="262">
        <f t="shared" si="10"/>
        <v>135956.13788262586</v>
      </c>
      <c r="N24" s="262">
        <f t="shared" si="10"/>
        <v>134385.85891537429</v>
      </c>
      <c r="O24" s="262">
        <f t="shared" si="10"/>
        <v>132782.86580297165</v>
      </c>
      <c r="P24" s="262">
        <f t="shared" si="10"/>
        <v>131146.47700072729</v>
      </c>
      <c r="Q24" s="262">
        <f t="shared" si="10"/>
        <v>129475.99676510283</v>
      </c>
      <c r="R24" s="262">
        <f t="shared" si="10"/>
        <v>127770.71485790286</v>
      </c>
      <c r="S24" s="262">
        <f t="shared" si="10"/>
        <v>126029.9062443029</v>
      </c>
      <c r="T24" s="262">
        <f t="shared" si="10"/>
        <v>124252.83078458626</v>
      </c>
      <c r="U24" s="262">
        <f t="shared" si="10"/>
        <v>122438.73291945887</v>
      </c>
      <c r="V24" s="262">
        <f t="shared" si="10"/>
        <v>120586.84134880798</v>
      </c>
      <c r="W24" s="262">
        <f t="shared" si="10"/>
        <v>118696.36870376854</v>
      </c>
      <c r="X24" s="262">
        <f t="shared" si="10"/>
        <v>116766.51121195745</v>
      </c>
      <c r="Y24" s="262">
        <f t="shared" si="10"/>
        <v>114796.44835573362</v>
      </c>
      <c r="Z24" s="262">
        <f t="shared" si="10"/>
        <v>112785.34252333846</v>
      </c>
      <c r="AA24" s="262">
        <f t="shared" si="10"/>
        <v>110732.33865276841</v>
      </c>
      <c r="AB24" s="262">
        <f t="shared" si="10"/>
        <v>108636.56386822814</v>
      </c>
      <c r="AC24" s="262">
        <f t="shared" si="10"/>
        <v>106497.12710900996</v>
      </c>
      <c r="AD24" s="262">
        <f t="shared" si="10"/>
        <v>104313.1187506414</v>
      </c>
      <c r="AE24" s="262">
        <f t="shared" si="10"/>
        <v>102083.61021814015</v>
      </c>
      <c r="AF24" s="262">
        <f t="shared" si="10"/>
        <v>99807.653591211798</v>
      </c>
      <c r="AG24" s="262">
        <f t="shared" si="10"/>
        <v>97484.281201222431</v>
      </c>
      <c r="AH24" s="262">
        <f t="shared" si="10"/>
        <v>95112.505219774961</v>
      </c>
      <c r="AI24" s="262">
        <f t="shared" si="10"/>
        <v>92691.317238713993</v>
      </c>
      <c r="AJ24" s="262">
        <f t="shared" si="10"/>
        <v>90219.687841380932</v>
      </c>
      <c r="AK24" s="262">
        <f t="shared" si="10"/>
        <v>87696.566164936754</v>
      </c>
      <c r="AL24" s="262">
        <f t="shared" si="10"/>
        <v>85120.879453566668</v>
      </c>
      <c r="AM24" s="262">
        <f t="shared" si="10"/>
        <v>82491.532602376363</v>
      </c>
      <c r="AN24" s="262">
        <f t="shared" si="10"/>
        <v>79807.407691786269</v>
      </c>
      <c r="AO24" s="262">
        <f t="shared" si="10"/>
        <v>77067.363512225536</v>
      </c>
      <c r="AP24" s="262">
        <f t="shared" si="10"/>
        <v>74270.235078923957</v>
      </c>
      <c r="AQ24" s="262">
        <f t="shared" si="10"/>
        <v>71414.833136595262</v>
      </c>
      <c r="AR24" s="262">
        <f t="shared" si="10"/>
        <v>68499.943653801383</v>
      </c>
      <c r="AS24" s="262">
        <f t="shared" si="10"/>
        <v>65524.327306782638</v>
      </c>
      <c r="AT24" s="262">
        <f t="shared" si="10"/>
        <v>62486.718952534335</v>
      </c>
      <c r="AU24" s="262">
        <f t="shared" si="10"/>
        <v>59385.827090905863</v>
      </c>
      <c r="AV24" s="262">
        <f t="shared" si="10"/>
        <v>56220.333315493459</v>
      </c>
      <c r="AW24" s="262">
        <f t="shared" si="10"/>
        <v>52988.891753093296</v>
      </c>
      <c r="AX24" s="262">
        <f t="shared" si="10"/>
        <v>49690.128491476469</v>
      </c>
      <c r="AY24" s="262">
        <f t="shared" si="10"/>
        <v>46322.640995242618</v>
      </c>
      <c r="AZ24" s="262">
        <f t="shared" si="10"/>
        <v>42884.997509503897</v>
      </c>
      <c r="BA24" s="262">
        <f t="shared" si="10"/>
        <v>39375.736451145625</v>
      </c>
      <c r="BB24" s="262">
        <f t="shared" si="10"/>
        <v>35793.365787404888</v>
      </c>
      <c r="BC24" s="262">
        <f t="shared" si="10"/>
        <v>32136.362401502884</v>
      </c>
      <c r="BD24" s="262">
        <f t="shared" si="10"/>
        <v>28403.171445061253</v>
      </c>
      <c r="BE24" s="262">
        <f t="shared" si="10"/>
        <v>24592.205677027086</v>
      </c>
      <c r="BF24" s="262">
        <f t="shared" si="10"/>
        <v>20701.844788825543</v>
      </c>
      <c r="BG24" s="262">
        <f t="shared" si="10"/>
        <v>16730.434715453135</v>
      </c>
      <c r="BH24" s="262">
        <f t="shared" si="10"/>
        <v>12676.286932218802</v>
      </c>
      <c r="BI24" s="262">
        <f t="shared" si="10"/>
        <v>8537.6777368337534</v>
      </c>
      <c r="BJ24" s="262">
        <f t="shared" si="10"/>
        <v>4312.8475165448508</v>
      </c>
      <c r="BK24" s="29" t="s">
        <v>150</v>
      </c>
      <c r="BL24" s="32"/>
      <c r="BN24" s="32"/>
      <c r="BO24" s="32"/>
    </row>
    <row r="25" spans="1:73">
      <c r="A25" s="30" t="s">
        <v>352</v>
      </c>
      <c r="B25" s="27"/>
      <c r="C25" s="263">
        <v>150000</v>
      </c>
      <c r="D25" s="263">
        <v>0</v>
      </c>
      <c r="E25" s="263">
        <v>0</v>
      </c>
      <c r="F25" s="263">
        <v>0</v>
      </c>
      <c r="G25" s="263">
        <v>0</v>
      </c>
      <c r="H25" s="263">
        <v>0</v>
      </c>
      <c r="I25" s="263">
        <v>0</v>
      </c>
      <c r="J25" s="263">
        <v>0</v>
      </c>
      <c r="K25" s="263">
        <v>0</v>
      </c>
      <c r="L25" s="263">
        <v>0</v>
      </c>
      <c r="M25" s="263">
        <v>0</v>
      </c>
      <c r="N25" s="263">
        <v>0</v>
      </c>
      <c r="O25" s="263">
        <v>0</v>
      </c>
      <c r="P25" s="263">
        <v>0</v>
      </c>
      <c r="Q25" s="263">
        <v>0</v>
      </c>
      <c r="R25" s="263">
        <v>0</v>
      </c>
      <c r="S25" s="263">
        <v>0</v>
      </c>
      <c r="T25" s="263">
        <v>0</v>
      </c>
      <c r="U25" s="263">
        <v>0</v>
      </c>
      <c r="V25" s="263">
        <v>0</v>
      </c>
      <c r="W25" s="263">
        <v>0</v>
      </c>
      <c r="X25" s="263">
        <v>0</v>
      </c>
      <c r="Y25" s="263">
        <v>0</v>
      </c>
      <c r="Z25" s="263">
        <v>0</v>
      </c>
      <c r="AA25" s="263">
        <v>0</v>
      </c>
      <c r="AB25" s="263">
        <v>0</v>
      </c>
      <c r="AC25" s="263">
        <v>0</v>
      </c>
      <c r="AD25" s="263">
        <v>0</v>
      </c>
      <c r="AE25" s="263">
        <v>0</v>
      </c>
      <c r="AF25" s="263">
        <v>0</v>
      </c>
      <c r="AG25" s="263">
        <v>0</v>
      </c>
      <c r="AH25" s="263">
        <v>0</v>
      </c>
      <c r="AI25" s="263">
        <v>0</v>
      </c>
      <c r="AJ25" s="263">
        <v>0</v>
      </c>
      <c r="AK25" s="263">
        <v>0</v>
      </c>
      <c r="AL25" s="263">
        <v>0</v>
      </c>
      <c r="AM25" s="263">
        <v>0</v>
      </c>
      <c r="AN25" s="263">
        <v>0</v>
      </c>
      <c r="AO25" s="263">
        <v>0</v>
      </c>
      <c r="AP25" s="263">
        <v>0</v>
      </c>
      <c r="AQ25" s="263">
        <v>0</v>
      </c>
      <c r="AR25" s="263">
        <v>0</v>
      </c>
      <c r="AS25" s="263">
        <v>0</v>
      </c>
      <c r="AT25" s="263">
        <v>0</v>
      </c>
      <c r="AU25" s="263">
        <v>0</v>
      </c>
      <c r="AV25" s="263">
        <v>0</v>
      </c>
      <c r="AW25" s="263">
        <v>0</v>
      </c>
      <c r="AX25" s="263">
        <v>0</v>
      </c>
      <c r="AY25" s="263">
        <v>0</v>
      </c>
      <c r="AZ25" s="263">
        <v>0</v>
      </c>
      <c r="BA25" s="263">
        <v>0</v>
      </c>
      <c r="BB25" s="263">
        <v>0</v>
      </c>
      <c r="BC25" s="263">
        <v>0</v>
      </c>
      <c r="BD25" s="263">
        <v>0</v>
      </c>
      <c r="BE25" s="263">
        <v>0</v>
      </c>
      <c r="BF25" s="263">
        <v>0</v>
      </c>
      <c r="BG25" s="263">
        <v>0</v>
      </c>
      <c r="BH25" s="263">
        <v>0</v>
      </c>
      <c r="BI25" s="263">
        <v>0</v>
      </c>
      <c r="BJ25" s="263">
        <v>0</v>
      </c>
      <c r="BK25" s="25">
        <f>SUM(C25:BJ25)</f>
        <v>150000</v>
      </c>
      <c r="BL25" s="3"/>
      <c r="BN25" s="32"/>
      <c r="BO25" s="32"/>
    </row>
    <row r="26" spans="1:73">
      <c r="A26" s="30" t="s">
        <v>353</v>
      </c>
      <c r="B26" s="27"/>
      <c r="C26" s="259">
        <f>IF(C5&lt;=$B$12,IF(C$5&lt;=$B$14,0,IF(C27=0,IPMT($B$10,1,($B$12-$B$14),$B$8),PMT($B$10,($B$12-$B$15),$B$8)-C27)),0)</f>
        <v>-3125.0000000000005</v>
      </c>
      <c r="D26" s="259">
        <f t="shared" ref="D26:BJ26" si="11">IF(D5&lt;=$B$12,IF(D$5&lt;=$B$14,0,IF(D27=0,IPMT($B$10,1,($B$12-$B$14),$B$8),PMT($B$10,($B$12-$B$15),$B$8)-D27)),0)</f>
        <v>-3098.3812811151479</v>
      </c>
      <c r="E26" s="259">
        <f t="shared" si="11"/>
        <v>-3071.2080055868601</v>
      </c>
      <c r="F26" s="259">
        <f t="shared" si="11"/>
        <v>-3043.4686201517338</v>
      </c>
      <c r="G26" s="259">
        <f t="shared" si="11"/>
        <v>-3015.1513308533749</v>
      </c>
      <c r="H26" s="259">
        <f t="shared" si="11"/>
        <v>-2986.2440980279675</v>
      </c>
      <c r="I26" s="259">
        <f t="shared" si="11"/>
        <v>-2956.7346311853639</v>
      </c>
      <c r="J26" s="259">
        <f t="shared" si="11"/>
        <v>-2926.6103837835394</v>
      </c>
      <c r="K26" s="259">
        <f t="shared" si="11"/>
        <v>-2895.8585478941768</v>
      </c>
      <c r="L26" s="259">
        <f t="shared" si="11"/>
        <v>-2864.4660487571191</v>
      </c>
      <c r="M26" s="259">
        <f t="shared" si="11"/>
        <v>-2832.4195392213728</v>
      </c>
      <c r="N26" s="259">
        <f t="shared" si="11"/>
        <v>-2799.7053940702981</v>
      </c>
      <c r="O26" s="259">
        <f t="shared" si="11"/>
        <v>-2766.3097042285772</v>
      </c>
      <c r="P26" s="259">
        <f t="shared" si="11"/>
        <v>-2732.2182708484861</v>
      </c>
      <c r="Q26" s="259">
        <f t="shared" si="11"/>
        <v>-2697.4165992729763</v>
      </c>
      <c r="R26" s="259">
        <f t="shared" si="11"/>
        <v>-2661.8898928729773</v>
      </c>
      <c r="S26" s="259">
        <f t="shared" si="11"/>
        <v>-2625.6230467563109</v>
      </c>
      <c r="T26" s="259">
        <f t="shared" si="11"/>
        <v>-2588.600641345548</v>
      </c>
      <c r="U26" s="259">
        <f t="shared" si="11"/>
        <v>-2550.806935822061</v>
      </c>
      <c r="V26" s="259">
        <f t="shared" si="11"/>
        <v>-2512.2258614335005</v>
      </c>
      <c r="W26" s="259">
        <f t="shared" si="11"/>
        <v>-2472.8410146618457</v>
      </c>
      <c r="X26" s="259">
        <f t="shared" si="11"/>
        <v>-2432.6356502491144</v>
      </c>
      <c r="Y26" s="259">
        <f t="shared" si="11"/>
        <v>-2391.592674077785</v>
      </c>
      <c r="Z26" s="259">
        <f t="shared" si="11"/>
        <v>-2349.6946359028857</v>
      </c>
      <c r="AA26" s="259">
        <f t="shared" si="11"/>
        <v>-2306.923721932676</v>
      </c>
      <c r="AB26" s="259">
        <f t="shared" si="11"/>
        <v>-2263.261747254754</v>
      </c>
      <c r="AC26" s="259">
        <f t="shared" si="11"/>
        <v>-2218.6901481043751</v>
      </c>
      <c r="AD26" s="259">
        <f t="shared" si="11"/>
        <v>-2173.1899739716964</v>
      </c>
      <c r="AE26" s="259">
        <f t="shared" si="11"/>
        <v>-2126.7418795445874</v>
      </c>
      <c r="AF26" s="259">
        <f t="shared" si="11"/>
        <v>-2079.3261164835803</v>
      </c>
      <c r="AG26" s="259">
        <f t="shared" si="11"/>
        <v>-2030.9225250254681</v>
      </c>
      <c r="AH26" s="259">
        <f t="shared" si="11"/>
        <v>-1981.510525411979</v>
      </c>
      <c r="AI26" s="259">
        <f t="shared" si="11"/>
        <v>-1931.0691091398762</v>
      </c>
      <c r="AJ26" s="259">
        <f t="shared" si="11"/>
        <v>-1879.57683002877</v>
      </c>
      <c r="AK26" s="259">
        <f t="shared" si="11"/>
        <v>-1827.0117951028501</v>
      </c>
      <c r="AL26" s="259">
        <f t="shared" si="11"/>
        <v>-1773.35165528264</v>
      </c>
      <c r="AM26" s="259">
        <f t="shared" si="11"/>
        <v>-1718.5735958828423</v>
      </c>
      <c r="AN26" s="259">
        <f t="shared" si="11"/>
        <v>-1662.6543269122153</v>
      </c>
      <c r="AO26" s="259">
        <f t="shared" si="11"/>
        <v>-1605.5700731713669</v>
      </c>
      <c r="AP26" s="259">
        <f t="shared" si="11"/>
        <v>-1547.2965641442506</v>
      </c>
      <c r="AQ26" s="259">
        <f t="shared" si="11"/>
        <v>-1487.8090236790686</v>
      </c>
      <c r="AR26" s="259">
        <f t="shared" si="11"/>
        <v>-1427.0821594541967</v>
      </c>
      <c r="AS26" s="259">
        <f t="shared" si="11"/>
        <v>-1365.09015222464</v>
      </c>
      <c r="AT26" s="259">
        <f t="shared" si="11"/>
        <v>-1301.806644844467</v>
      </c>
      <c r="AU26" s="259">
        <f t="shared" si="11"/>
        <v>-1237.2047310605403</v>
      </c>
      <c r="AV26" s="259">
        <f t="shared" si="11"/>
        <v>-1171.2569440727816</v>
      </c>
      <c r="AW26" s="259">
        <f t="shared" si="11"/>
        <v>-1103.9352448561121</v>
      </c>
      <c r="AX26" s="259">
        <f t="shared" si="11"/>
        <v>-1035.2110102390943</v>
      </c>
      <c r="AY26" s="259">
        <f t="shared" si="11"/>
        <v>-965.05502073422304</v>
      </c>
      <c r="AZ26" s="259">
        <f t="shared" si="11"/>
        <v>-893.43744811466604</v>
      </c>
      <c r="BA26" s="259">
        <f t="shared" si="11"/>
        <v>-820.32784273220204</v>
      </c>
      <c r="BB26" s="259">
        <f t="shared" si="11"/>
        <v>-745.69512057093652</v>
      </c>
      <c r="BC26" s="259">
        <f t="shared" si="11"/>
        <v>-669.50755003131189</v>
      </c>
      <c r="BD26" s="259">
        <f t="shared" si="11"/>
        <v>-591.73273843877723</v>
      </c>
      <c r="BE26" s="259">
        <f t="shared" si="11"/>
        <v>-512.33761827139915</v>
      </c>
      <c r="BF26" s="259">
        <f t="shared" si="11"/>
        <v>-431.28843310053344</v>
      </c>
      <c r="BG26" s="259">
        <f t="shared" si="11"/>
        <v>-348.55072323860895</v>
      </c>
      <c r="BH26" s="259">
        <f t="shared" si="11"/>
        <v>-264.08931108789329</v>
      </c>
      <c r="BI26" s="259">
        <f t="shared" si="11"/>
        <v>-177.86828618403888</v>
      </c>
      <c r="BJ26" s="259">
        <f t="shared" si="11"/>
        <v>-89.850989928019771</v>
      </c>
      <c r="BK26" s="25">
        <f>SUM(C26:BJ26)</f>
        <v>-114161.91038837649</v>
      </c>
      <c r="BL26" s="3"/>
      <c r="BN26" s="32"/>
      <c r="BO26" s="32"/>
    </row>
    <row r="27" spans="1:73">
      <c r="A27" s="30" t="s">
        <v>354</v>
      </c>
      <c r="B27" s="31"/>
      <c r="C27" s="259">
        <f>IF(C5&lt;=$B$12,IF(C$5&lt;=$B$15,0,PPMT($B$10,(C$5-$B$15),($B$12-$B$15),$B$8)),0)</f>
        <v>-1277.6985064729411</v>
      </c>
      <c r="D27" s="259">
        <f t="shared" ref="D27:BJ27" si="12">IF(D5&lt;=$B$12,IF(D$5&lt;=$B$15,0,PPMT($B$10,(D$5-$B$15),($B$12-$B$15),$B$8)),0)</f>
        <v>-1304.3172253577936</v>
      </c>
      <c r="E27" s="259">
        <f t="shared" si="12"/>
        <v>-1331.4905008860812</v>
      </c>
      <c r="F27" s="259">
        <f t="shared" si="12"/>
        <v>-1359.2298863212077</v>
      </c>
      <c r="G27" s="259">
        <f t="shared" si="12"/>
        <v>-1387.5471756195666</v>
      </c>
      <c r="H27" s="259">
        <f t="shared" si="12"/>
        <v>-1416.454408444974</v>
      </c>
      <c r="I27" s="259">
        <f t="shared" si="12"/>
        <v>-1445.9638752875776</v>
      </c>
      <c r="J27" s="259">
        <f t="shared" si="12"/>
        <v>-1476.0881226894021</v>
      </c>
      <c r="K27" s="259">
        <f t="shared" si="12"/>
        <v>-1506.8399585787649</v>
      </c>
      <c r="L27" s="259">
        <f t="shared" si="12"/>
        <v>-1538.2324577158224</v>
      </c>
      <c r="M27" s="259">
        <f t="shared" si="12"/>
        <v>-1570.2789672515687</v>
      </c>
      <c r="N27" s="259">
        <f t="shared" si="12"/>
        <v>-1602.9931124026434</v>
      </c>
      <c r="O27" s="259">
        <f t="shared" si="12"/>
        <v>-1636.3888022443646</v>
      </c>
      <c r="P27" s="259">
        <f t="shared" si="12"/>
        <v>-1670.4802356244556</v>
      </c>
      <c r="Q27" s="259">
        <f t="shared" si="12"/>
        <v>-1705.2819071999652</v>
      </c>
      <c r="R27" s="259">
        <f t="shared" si="12"/>
        <v>-1740.8086135999642</v>
      </c>
      <c r="S27" s="259">
        <f t="shared" si="12"/>
        <v>-1777.0754597166306</v>
      </c>
      <c r="T27" s="259">
        <f t="shared" si="12"/>
        <v>-1814.0978651273938</v>
      </c>
      <c r="U27" s="259">
        <f t="shared" si="12"/>
        <v>-1851.8915706508808</v>
      </c>
      <c r="V27" s="259">
        <f t="shared" si="12"/>
        <v>-1890.472645039441</v>
      </c>
      <c r="W27" s="259">
        <f t="shared" si="12"/>
        <v>-1929.8574918110958</v>
      </c>
      <c r="X27" s="259">
        <f t="shared" si="12"/>
        <v>-1970.0628562238271</v>
      </c>
      <c r="Y27" s="259">
        <f t="shared" si="12"/>
        <v>-2011.1058323951568</v>
      </c>
      <c r="Z27" s="259">
        <f t="shared" si="12"/>
        <v>-2053.0038705700558</v>
      </c>
      <c r="AA27" s="259">
        <f t="shared" si="12"/>
        <v>-2095.7747845402655</v>
      </c>
      <c r="AB27" s="259">
        <f t="shared" si="12"/>
        <v>-2139.4367592181875</v>
      </c>
      <c r="AC27" s="259">
        <f t="shared" si="12"/>
        <v>-2184.0083583685664</v>
      </c>
      <c r="AD27" s="259">
        <f t="shared" si="12"/>
        <v>-2229.5085325012451</v>
      </c>
      <c r="AE27" s="259">
        <f t="shared" si="12"/>
        <v>-2275.9566269283541</v>
      </c>
      <c r="AF27" s="259">
        <f t="shared" si="12"/>
        <v>-2323.3723899893612</v>
      </c>
      <c r="AG27" s="259">
        <f t="shared" si="12"/>
        <v>-2371.7759814474734</v>
      </c>
      <c r="AH27" s="259">
        <f t="shared" si="12"/>
        <v>-2421.1879810609626</v>
      </c>
      <c r="AI27" s="259">
        <f t="shared" si="12"/>
        <v>-2471.6293973330653</v>
      </c>
      <c r="AJ27" s="259">
        <f t="shared" si="12"/>
        <v>-2523.1216764441715</v>
      </c>
      <c r="AK27" s="259">
        <f t="shared" si="12"/>
        <v>-2575.6867113700914</v>
      </c>
      <c r="AL27" s="259">
        <f t="shared" si="12"/>
        <v>-2629.3468511903015</v>
      </c>
      <c r="AM27" s="259">
        <f t="shared" si="12"/>
        <v>-2684.1249105900993</v>
      </c>
      <c r="AN27" s="259">
        <f t="shared" si="12"/>
        <v>-2740.0441795607262</v>
      </c>
      <c r="AO27" s="259">
        <f t="shared" si="12"/>
        <v>-2797.1284333015747</v>
      </c>
      <c r="AP27" s="259">
        <f t="shared" si="12"/>
        <v>-2855.4019423286909</v>
      </c>
      <c r="AQ27" s="259">
        <f t="shared" si="12"/>
        <v>-2914.889482793873</v>
      </c>
      <c r="AR27" s="259">
        <f t="shared" si="12"/>
        <v>-2975.6163470187448</v>
      </c>
      <c r="AS27" s="259">
        <f t="shared" si="12"/>
        <v>-3037.6083542483016</v>
      </c>
      <c r="AT27" s="259">
        <f t="shared" si="12"/>
        <v>-3100.8918616284745</v>
      </c>
      <c r="AU27" s="259">
        <f t="shared" si="12"/>
        <v>-3165.4937754124012</v>
      </c>
      <c r="AV27" s="259">
        <f t="shared" si="12"/>
        <v>-3231.4415624001599</v>
      </c>
      <c r="AW27" s="259">
        <f t="shared" si="12"/>
        <v>-3298.7632616168294</v>
      </c>
      <c r="AX27" s="259">
        <f t="shared" si="12"/>
        <v>-3367.4874962338472</v>
      </c>
      <c r="AY27" s="259">
        <f t="shared" si="12"/>
        <v>-3437.6434857387185</v>
      </c>
      <c r="AZ27" s="259">
        <f t="shared" si="12"/>
        <v>-3509.2610583582755</v>
      </c>
      <c r="BA27" s="259">
        <f t="shared" si="12"/>
        <v>-3582.3706637407395</v>
      </c>
      <c r="BB27" s="259">
        <f t="shared" si="12"/>
        <v>-3657.003385902005</v>
      </c>
      <c r="BC27" s="259">
        <f t="shared" si="12"/>
        <v>-3733.1909564416296</v>
      </c>
      <c r="BD27" s="259">
        <f t="shared" si="12"/>
        <v>-3810.9657680341643</v>
      </c>
      <c r="BE27" s="259">
        <f t="shared" si="12"/>
        <v>-3890.3608882015424</v>
      </c>
      <c r="BF27" s="259">
        <f t="shared" si="12"/>
        <v>-3971.4100733724081</v>
      </c>
      <c r="BG27" s="259">
        <f t="shared" si="12"/>
        <v>-4054.1477832343326</v>
      </c>
      <c r="BH27" s="259">
        <f t="shared" si="12"/>
        <v>-4138.6091953850482</v>
      </c>
      <c r="BI27" s="259">
        <f t="shared" si="12"/>
        <v>-4224.8302202889026</v>
      </c>
      <c r="BJ27" s="259">
        <f t="shared" si="12"/>
        <v>-4312.8475165449217</v>
      </c>
      <c r="BK27" s="25">
        <f>SUM(C27:BJ27)</f>
        <v>-150000.00000000006</v>
      </c>
      <c r="BL27" s="3"/>
    </row>
    <row r="28" spans="1:73">
      <c r="A28" s="261" t="s">
        <v>355</v>
      </c>
      <c r="B28" s="31"/>
      <c r="C28" s="262">
        <f t="shared" ref="C28:BJ28" si="13">IF(C5=$B$12,0,C25+C24+C27)</f>
        <v>148722.30149352705</v>
      </c>
      <c r="D28" s="262">
        <f t="shared" si="13"/>
        <v>147417.98426816927</v>
      </c>
      <c r="E28" s="262">
        <f t="shared" si="13"/>
        <v>146086.49376728319</v>
      </c>
      <c r="F28" s="262">
        <f t="shared" si="13"/>
        <v>144727.26388096198</v>
      </c>
      <c r="G28" s="262">
        <f t="shared" si="13"/>
        <v>143339.71670534241</v>
      </c>
      <c r="H28" s="262">
        <f t="shared" si="13"/>
        <v>141923.26229689742</v>
      </c>
      <c r="I28" s="262">
        <f t="shared" si="13"/>
        <v>140477.29842160983</v>
      </c>
      <c r="J28" s="262">
        <f t="shared" si="13"/>
        <v>139001.21029892043</v>
      </c>
      <c r="K28" s="262">
        <f t="shared" si="13"/>
        <v>137494.37034034167</v>
      </c>
      <c r="L28" s="262">
        <f t="shared" si="13"/>
        <v>135956.13788262586</v>
      </c>
      <c r="M28" s="262">
        <f t="shared" si="13"/>
        <v>134385.85891537429</v>
      </c>
      <c r="N28" s="262">
        <f t="shared" si="13"/>
        <v>132782.86580297165</v>
      </c>
      <c r="O28" s="262">
        <f t="shared" si="13"/>
        <v>131146.47700072729</v>
      </c>
      <c r="P28" s="262">
        <f t="shared" si="13"/>
        <v>129475.99676510283</v>
      </c>
      <c r="Q28" s="262">
        <f t="shared" si="13"/>
        <v>127770.71485790286</v>
      </c>
      <c r="R28" s="262">
        <f t="shared" si="13"/>
        <v>126029.9062443029</v>
      </c>
      <c r="S28" s="262">
        <f t="shared" si="13"/>
        <v>124252.83078458626</v>
      </c>
      <c r="T28" s="262">
        <f t="shared" si="13"/>
        <v>122438.73291945887</v>
      </c>
      <c r="U28" s="262">
        <f t="shared" si="13"/>
        <v>120586.84134880798</v>
      </c>
      <c r="V28" s="262">
        <f t="shared" si="13"/>
        <v>118696.36870376854</v>
      </c>
      <c r="W28" s="262">
        <f t="shared" si="13"/>
        <v>116766.51121195745</v>
      </c>
      <c r="X28" s="262">
        <f t="shared" si="13"/>
        <v>114796.44835573362</v>
      </c>
      <c r="Y28" s="262">
        <f t="shared" si="13"/>
        <v>112785.34252333846</v>
      </c>
      <c r="Z28" s="262">
        <f t="shared" si="13"/>
        <v>110732.33865276841</v>
      </c>
      <c r="AA28" s="262">
        <f t="shared" si="13"/>
        <v>108636.56386822814</v>
      </c>
      <c r="AB28" s="262">
        <f t="shared" si="13"/>
        <v>106497.12710900996</v>
      </c>
      <c r="AC28" s="262">
        <f t="shared" si="13"/>
        <v>104313.1187506414</v>
      </c>
      <c r="AD28" s="262">
        <f t="shared" si="13"/>
        <v>102083.61021814015</v>
      </c>
      <c r="AE28" s="262">
        <f t="shared" si="13"/>
        <v>99807.653591211798</v>
      </c>
      <c r="AF28" s="262">
        <f t="shared" si="13"/>
        <v>97484.281201222431</v>
      </c>
      <c r="AG28" s="262">
        <f t="shared" si="13"/>
        <v>95112.505219774961</v>
      </c>
      <c r="AH28" s="262">
        <f t="shared" si="13"/>
        <v>92691.317238713993</v>
      </c>
      <c r="AI28" s="262">
        <f t="shared" si="13"/>
        <v>90219.687841380932</v>
      </c>
      <c r="AJ28" s="262">
        <f t="shared" si="13"/>
        <v>87696.566164936754</v>
      </c>
      <c r="AK28" s="262">
        <f t="shared" si="13"/>
        <v>85120.879453566668</v>
      </c>
      <c r="AL28" s="262">
        <f t="shared" si="13"/>
        <v>82491.532602376363</v>
      </c>
      <c r="AM28" s="262">
        <f t="shared" si="13"/>
        <v>79807.407691786269</v>
      </c>
      <c r="AN28" s="262">
        <f t="shared" si="13"/>
        <v>77067.363512225536</v>
      </c>
      <c r="AO28" s="262">
        <f t="shared" si="13"/>
        <v>74270.235078923957</v>
      </c>
      <c r="AP28" s="262">
        <f t="shared" si="13"/>
        <v>71414.833136595262</v>
      </c>
      <c r="AQ28" s="262">
        <f t="shared" si="13"/>
        <v>68499.943653801383</v>
      </c>
      <c r="AR28" s="262">
        <f t="shared" si="13"/>
        <v>65524.327306782638</v>
      </c>
      <c r="AS28" s="262">
        <f t="shared" si="13"/>
        <v>62486.718952534335</v>
      </c>
      <c r="AT28" s="262">
        <f t="shared" si="13"/>
        <v>59385.827090905863</v>
      </c>
      <c r="AU28" s="262">
        <f t="shared" si="13"/>
        <v>56220.333315493459</v>
      </c>
      <c r="AV28" s="262">
        <f t="shared" si="13"/>
        <v>52988.891753093296</v>
      </c>
      <c r="AW28" s="262">
        <f t="shared" si="13"/>
        <v>49690.128491476469</v>
      </c>
      <c r="AX28" s="262">
        <f t="shared" si="13"/>
        <v>46322.640995242618</v>
      </c>
      <c r="AY28" s="262">
        <f t="shared" si="13"/>
        <v>42884.997509503897</v>
      </c>
      <c r="AZ28" s="262">
        <f t="shared" si="13"/>
        <v>39375.736451145625</v>
      </c>
      <c r="BA28" s="262">
        <f t="shared" si="13"/>
        <v>35793.365787404888</v>
      </c>
      <c r="BB28" s="262">
        <f t="shared" si="13"/>
        <v>32136.362401502884</v>
      </c>
      <c r="BC28" s="262">
        <f t="shared" si="13"/>
        <v>28403.171445061253</v>
      </c>
      <c r="BD28" s="262">
        <f t="shared" si="13"/>
        <v>24592.205677027086</v>
      </c>
      <c r="BE28" s="262">
        <f t="shared" si="13"/>
        <v>20701.844788825543</v>
      </c>
      <c r="BF28" s="262">
        <f t="shared" si="13"/>
        <v>16730.434715453135</v>
      </c>
      <c r="BG28" s="262">
        <f t="shared" si="13"/>
        <v>12676.286932218802</v>
      </c>
      <c r="BH28" s="262">
        <f t="shared" si="13"/>
        <v>8537.6777368337534</v>
      </c>
      <c r="BI28" s="262">
        <f t="shared" si="13"/>
        <v>4312.8475165448508</v>
      </c>
      <c r="BJ28" s="262">
        <f t="shared" si="13"/>
        <v>0</v>
      </c>
      <c r="BK28" s="264" t="s">
        <v>150</v>
      </c>
      <c r="BL28" s="265"/>
    </row>
    <row r="30" spans="1:73"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</row>
    <row r="31" spans="1:73"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P30"/>
  <sheetViews>
    <sheetView zoomScaleNormal="100" zoomScalePageLayoutView="150" workbookViewId="0">
      <pane xSplit="1" ySplit="5" topLeftCell="BE6" activePane="bottomRight" state="frozen"/>
      <selection pane="topRight" activeCell="B1" sqref="B1"/>
      <selection pane="bottomLeft" activeCell="A6" sqref="A6"/>
      <selection pane="bottomRight" activeCell="BR9" sqref="BR9:BR24"/>
    </sheetView>
  </sheetViews>
  <sheetFormatPr defaultColWidth="8.5703125" defaultRowHeight="13.9"/>
  <cols>
    <col min="1" max="1" width="39.5703125" style="1" bestFit="1" customWidth="1"/>
    <col min="2" max="2" width="7.5703125" style="1" customWidth="1"/>
    <col min="3" max="3" width="10.140625" style="1" customWidth="1"/>
    <col min="4" max="13" width="8.5703125" style="1"/>
    <col min="14" max="14" width="9.5703125" style="1" customWidth="1"/>
    <col min="15" max="59" width="8.5703125" style="1"/>
    <col min="60" max="61" width="8.5703125" style="1" customWidth="1"/>
    <col min="62" max="62" width="8.5703125" style="1"/>
    <col min="63" max="63" width="8.5703125" style="1" customWidth="1"/>
    <col min="64" max="64" width="9.35546875" style="1" customWidth="1"/>
    <col min="65" max="68" width="9.42578125" style="1" customWidth="1"/>
    <col min="69" max="69" width="3.5703125" style="1" customWidth="1"/>
    <col min="70" max="70" width="10.5703125" style="1" customWidth="1"/>
    <col min="71" max="16384" width="8.5703125" style="1"/>
  </cols>
  <sheetData>
    <row r="1" spans="1:120">
      <c r="A1" s="18" t="s">
        <v>6</v>
      </c>
      <c r="B1" s="19">
        <f>IF(OR(MONTH(B3)=1,MONTH(B3)=2,MONTH(B3)=3),1,IF(OR(MONTH(B3)=4,MONTH(B3)=5,MONTH(B3)=6),2,IF(OR(MONTH(B3)=7,MONTH(B3)=8,MONTH(B3)=9),3,4)))</f>
        <v>3</v>
      </c>
      <c r="C1" s="19">
        <f>IF(OR(MONTH(C3)=1,MONTH(C3)=2,MONTH(C3)=3),1,IF(OR(MONTH(C3)=4,MONTH(C3)=5,MONTH(C3)=6),2,IF(OR(MONTH(C3)=7,MONTH(C3)=8,MONTH(C3)=9),3,4)))</f>
        <v>4</v>
      </c>
      <c r="D1" s="19">
        <f>IF(OR(MONTH(D3)=1,MONTH(D3)=2,MONTH(D3)=3),1,IF(OR(MONTH(D3)=4,MONTH(D3)=5,MONTH(D3)=6),2,IF(OR(MONTH(D3)=7,MONTH(D3)=8,MONTH(D3)=9),3,4)))</f>
        <v>4</v>
      </c>
      <c r="E1" s="19">
        <f t="shared" ref="E1:AK1" si="0">IF(OR(MONTH(E3)=1,MONTH(E3)=2,MONTH(E3)=3),1,IF(OR(MONTH(E3)=4,MONTH(E3)=5,MONTH(E3)=6),2,IF(OR(MONTH(E3)=7,MONTH(E3)=8,MONTH(E3)=9),3,4)))</f>
        <v>4</v>
      </c>
      <c r="F1" s="19">
        <f t="shared" si="0"/>
        <v>1</v>
      </c>
      <c r="G1" s="19">
        <f t="shared" si="0"/>
        <v>1</v>
      </c>
      <c r="H1" s="19">
        <f t="shared" si="0"/>
        <v>1</v>
      </c>
      <c r="I1" s="19">
        <f t="shared" si="0"/>
        <v>2</v>
      </c>
      <c r="J1" s="19">
        <f t="shared" si="0"/>
        <v>2</v>
      </c>
      <c r="K1" s="19">
        <f t="shared" si="0"/>
        <v>2</v>
      </c>
      <c r="L1" s="19">
        <f t="shared" si="0"/>
        <v>3</v>
      </c>
      <c r="M1" s="19">
        <f t="shared" si="0"/>
        <v>3</v>
      </c>
      <c r="N1" s="19">
        <f t="shared" si="0"/>
        <v>3</v>
      </c>
      <c r="O1" s="19">
        <f t="shared" si="0"/>
        <v>4</v>
      </c>
      <c r="P1" s="19">
        <f t="shared" si="0"/>
        <v>4</v>
      </c>
      <c r="Q1" s="19">
        <f t="shared" si="0"/>
        <v>4</v>
      </c>
      <c r="R1" s="19">
        <f t="shared" si="0"/>
        <v>1</v>
      </c>
      <c r="S1" s="19">
        <f t="shared" si="0"/>
        <v>1</v>
      </c>
      <c r="T1" s="19">
        <f t="shared" si="0"/>
        <v>1</v>
      </c>
      <c r="U1" s="19">
        <f t="shared" si="0"/>
        <v>2</v>
      </c>
      <c r="V1" s="19">
        <f t="shared" si="0"/>
        <v>2</v>
      </c>
      <c r="W1" s="19">
        <f t="shared" si="0"/>
        <v>2</v>
      </c>
      <c r="X1" s="19">
        <f t="shared" si="0"/>
        <v>3</v>
      </c>
      <c r="Y1" s="19">
        <f t="shared" si="0"/>
        <v>3</v>
      </c>
      <c r="Z1" s="19">
        <f t="shared" si="0"/>
        <v>3</v>
      </c>
      <c r="AA1" s="19">
        <f t="shared" si="0"/>
        <v>4</v>
      </c>
      <c r="AB1" s="19">
        <f t="shared" si="0"/>
        <v>4</v>
      </c>
      <c r="AC1" s="19">
        <f t="shared" si="0"/>
        <v>4</v>
      </c>
      <c r="AD1" s="19">
        <f t="shared" si="0"/>
        <v>1</v>
      </c>
      <c r="AE1" s="19">
        <f t="shared" si="0"/>
        <v>1</v>
      </c>
      <c r="AF1" s="19">
        <f t="shared" si="0"/>
        <v>1</v>
      </c>
      <c r="AG1" s="19">
        <f t="shared" si="0"/>
        <v>2</v>
      </c>
      <c r="AH1" s="19">
        <f t="shared" si="0"/>
        <v>2</v>
      </c>
      <c r="AI1" s="19">
        <f t="shared" si="0"/>
        <v>2</v>
      </c>
      <c r="AJ1" s="19">
        <f t="shared" si="0"/>
        <v>3</v>
      </c>
      <c r="AK1" s="19">
        <f t="shared" si="0"/>
        <v>3</v>
      </c>
      <c r="AL1" s="19">
        <f t="shared" ref="AL1:BH1" si="1">IF(OR(MONTH(AL3)=1,MONTH(AL3)=2,MONTH(AL3)=3),1,IF(OR(MONTH(AL3)=4,MONTH(AL3)=5,MONTH(AL3)=6),2,IF(OR(MONTH(AL3)=7,MONTH(AL3)=8,MONTH(AL3)=9),3,4)))</f>
        <v>3</v>
      </c>
      <c r="AM1" s="19">
        <f t="shared" si="1"/>
        <v>4</v>
      </c>
      <c r="AN1" s="19">
        <f t="shared" si="1"/>
        <v>4</v>
      </c>
      <c r="AO1" s="19">
        <f t="shared" si="1"/>
        <v>4</v>
      </c>
      <c r="AP1" s="19">
        <f t="shared" si="1"/>
        <v>1</v>
      </c>
      <c r="AQ1" s="19">
        <f t="shared" si="1"/>
        <v>1</v>
      </c>
      <c r="AR1" s="19">
        <f t="shared" si="1"/>
        <v>1</v>
      </c>
      <c r="AS1" s="19">
        <f t="shared" si="1"/>
        <v>2</v>
      </c>
      <c r="AT1" s="19">
        <f t="shared" si="1"/>
        <v>2</v>
      </c>
      <c r="AU1" s="19">
        <f t="shared" si="1"/>
        <v>2</v>
      </c>
      <c r="AV1" s="19">
        <f t="shared" si="1"/>
        <v>3</v>
      </c>
      <c r="AW1" s="19">
        <f t="shared" si="1"/>
        <v>3</v>
      </c>
      <c r="AX1" s="19">
        <f t="shared" si="1"/>
        <v>3</v>
      </c>
      <c r="AY1" s="19">
        <f t="shared" si="1"/>
        <v>4</v>
      </c>
      <c r="AZ1" s="19">
        <f t="shared" si="1"/>
        <v>4</v>
      </c>
      <c r="BA1" s="19">
        <f t="shared" si="1"/>
        <v>4</v>
      </c>
      <c r="BB1" s="19">
        <f t="shared" si="1"/>
        <v>1</v>
      </c>
      <c r="BC1" s="19">
        <f t="shared" si="1"/>
        <v>1</v>
      </c>
      <c r="BD1" s="19">
        <f t="shared" si="1"/>
        <v>1</v>
      </c>
      <c r="BE1" s="19">
        <f t="shared" si="1"/>
        <v>2</v>
      </c>
      <c r="BF1" s="19">
        <f t="shared" si="1"/>
        <v>2</v>
      </c>
      <c r="BG1" s="19">
        <f t="shared" si="1"/>
        <v>2</v>
      </c>
      <c r="BH1" s="19">
        <f t="shared" si="1"/>
        <v>3</v>
      </c>
      <c r="BI1" s="19">
        <f t="shared" ref="BI1" si="2">IF(OR(MONTH(BI3)=1,MONTH(BI3)=2,MONTH(BI3)=3),1,IF(OR(MONTH(BI3)=4,MONTH(BI3)=5,MONTH(BI3)=6),2,IF(OR(MONTH(BI3)=7,MONTH(BI3)=8,MONTH(BI3)=9),3,4)))</f>
        <v>3</v>
      </c>
    </row>
    <row r="2" spans="1:120">
      <c r="A2" s="18" t="s">
        <v>7</v>
      </c>
      <c r="B2" s="19">
        <f>YEAR(B3)</f>
        <v>2025</v>
      </c>
      <c r="C2" s="19">
        <f>YEAR(C3)</f>
        <v>2025</v>
      </c>
      <c r="D2" s="19">
        <f t="shared" ref="D2:BI2" si="3">YEAR(D3)</f>
        <v>2025</v>
      </c>
      <c r="E2" s="19">
        <f t="shared" si="3"/>
        <v>2025</v>
      </c>
      <c r="F2" s="19">
        <f t="shared" si="3"/>
        <v>2026</v>
      </c>
      <c r="G2" s="19">
        <f t="shared" si="3"/>
        <v>2026</v>
      </c>
      <c r="H2" s="19">
        <f t="shared" si="3"/>
        <v>2026</v>
      </c>
      <c r="I2" s="19">
        <f t="shared" si="3"/>
        <v>2026</v>
      </c>
      <c r="J2" s="19">
        <f t="shared" si="3"/>
        <v>2026</v>
      </c>
      <c r="K2" s="19">
        <f t="shared" si="3"/>
        <v>2026</v>
      </c>
      <c r="L2" s="19">
        <f t="shared" si="3"/>
        <v>2026</v>
      </c>
      <c r="M2" s="19">
        <f t="shared" si="3"/>
        <v>2026</v>
      </c>
      <c r="N2" s="19">
        <f t="shared" si="3"/>
        <v>2026</v>
      </c>
      <c r="O2" s="19">
        <f t="shared" si="3"/>
        <v>2026</v>
      </c>
      <c r="P2" s="19">
        <f t="shared" si="3"/>
        <v>2026</v>
      </c>
      <c r="Q2" s="19">
        <f t="shared" si="3"/>
        <v>2026</v>
      </c>
      <c r="R2" s="19">
        <f t="shared" si="3"/>
        <v>2027</v>
      </c>
      <c r="S2" s="19">
        <f t="shared" si="3"/>
        <v>2027</v>
      </c>
      <c r="T2" s="19">
        <f t="shared" si="3"/>
        <v>2027</v>
      </c>
      <c r="U2" s="19">
        <f t="shared" si="3"/>
        <v>2027</v>
      </c>
      <c r="V2" s="19">
        <f t="shared" si="3"/>
        <v>2027</v>
      </c>
      <c r="W2" s="19">
        <f t="shared" si="3"/>
        <v>2027</v>
      </c>
      <c r="X2" s="19">
        <f t="shared" si="3"/>
        <v>2027</v>
      </c>
      <c r="Y2" s="19">
        <f t="shared" si="3"/>
        <v>2027</v>
      </c>
      <c r="Z2" s="19">
        <f t="shared" si="3"/>
        <v>2027</v>
      </c>
      <c r="AA2" s="19">
        <f t="shared" si="3"/>
        <v>2027</v>
      </c>
      <c r="AB2" s="19">
        <f t="shared" si="3"/>
        <v>2027</v>
      </c>
      <c r="AC2" s="19">
        <f t="shared" si="3"/>
        <v>2027</v>
      </c>
      <c r="AD2" s="19">
        <f t="shared" si="3"/>
        <v>2028</v>
      </c>
      <c r="AE2" s="19">
        <f t="shared" si="3"/>
        <v>2028</v>
      </c>
      <c r="AF2" s="19">
        <f t="shared" si="3"/>
        <v>2028</v>
      </c>
      <c r="AG2" s="19">
        <f t="shared" si="3"/>
        <v>2028</v>
      </c>
      <c r="AH2" s="19">
        <f t="shared" si="3"/>
        <v>2028</v>
      </c>
      <c r="AI2" s="19">
        <f t="shared" si="3"/>
        <v>2028</v>
      </c>
      <c r="AJ2" s="19">
        <f t="shared" si="3"/>
        <v>2028</v>
      </c>
      <c r="AK2" s="19">
        <f t="shared" si="3"/>
        <v>2028</v>
      </c>
      <c r="AL2" s="19">
        <f t="shared" si="3"/>
        <v>2028</v>
      </c>
      <c r="AM2" s="19">
        <f t="shared" si="3"/>
        <v>2028</v>
      </c>
      <c r="AN2" s="19">
        <f t="shared" si="3"/>
        <v>2028</v>
      </c>
      <c r="AO2" s="19">
        <f t="shared" si="3"/>
        <v>2028</v>
      </c>
      <c r="AP2" s="19">
        <f t="shared" si="3"/>
        <v>2029</v>
      </c>
      <c r="AQ2" s="19">
        <f t="shared" si="3"/>
        <v>2029</v>
      </c>
      <c r="AR2" s="19">
        <f t="shared" si="3"/>
        <v>2029</v>
      </c>
      <c r="AS2" s="19">
        <f t="shared" si="3"/>
        <v>2029</v>
      </c>
      <c r="AT2" s="19">
        <f t="shared" si="3"/>
        <v>2029</v>
      </c>
      <c r="AU2" s="19">
        <f t="shared" si="3"/>
        <v>2029</v>
      </c>
      <c r="AV2" s="19">
        <f t="shared" si="3"/>
        <v>2029</v>
      </c>
      <c r="AW2" s="19">
        <f t="shared" si="3"/>
        <v>2029</v>
      </c>
      <c r="AX2" s="19">
        <f t="shared" si="3"/>
        <v>2029</v>
      </c>
      <c r="AY2" s="19">
        <f t="shared" si="3"/>
        <v>2029</v>
      </c>
      <c r="AZ2" s="19">
        <f t="shared" si="3"/>
        <v>2029</v>
      </c>
      <c r="BA2" s="19">
        <f t="shared" si="3"/>
        <v>2029</v>
      </c>
      <c r="BB2" s="19">
        <f t="shared" si="3"/>
        <v>2030</v>
      </c>
      <c r="BC2" s="19">
        <f t="shared" si="3"/>
        <v>2030</v>
      </c>
      <c r="BD2" s="19">
        <f t="shared" si="3"/>
        <v>2030</v>
      </c>
      <c r="BE2" s="19">
        <f t="shared" si="3"/>
        <v>2030</v>
      </c>
      <c r="BF2" s="19">
        <f t="shared" si="3"/>
        <v>2030</v>
      </c>
      <c r="BG2" s="19">
        <f t="shared" si="3"/>
        <v>2030</v>
      </c>
      <c r="BH2" s="19">
        <f t="shared" si="3"/>
        <v>2030</v>
      </c>
      <c r="BI2" s="19">
        <f t="shared" si="3"/>
        <v>2030</v>
      </c>
      <c r="BK2" s="19">
        <f>YEAR(Допущения!C4)</f>
        <v>2025</v>
      </c>
      <c r="BL2" s="19">
        <f t="shared" ref="BL2:BN2" si="4">BK2+1</f>
        <v>2026</v>
      </c>
      <c r="BM2" s="19">
        <f t="shared" si="4"/>
        <v>2027</v>
      </c>
      <c r="BN2" s="19">
        <f t="shared" si="4"/>
        <v>2028</v>
      </c>
      <c r="BO2" s="19">
        <f t="shared" ref="BO2" si="5">BN2+1</f>
        <v>2029</v>
      </c>
      <c r="BP2" s="19">
        <f t="shared" ref="BP2" si="6">BO2+1</f>
        <v>2030</v>
      </c>
      <c r="BR2" s="23" t="s">
        <v>11</v>
      </c>
    </row>
    <row r="3" spans="1:120">
      <c r="A3" s="18" t="s">
        <v>8</v>
      </c>
      <c r="B3" s="20">
        <f>Допущения!C4</f>
        <v>45901</v>
      </c>
      <c r="C3" s="20">
        <f t="shared" ref="C3:N3" si="7">DATE(YEAR(B3),MONTH(B3)+1,1)</f>
        <v>45931</v>
      </c>
      <c r="D3" s="20">
        <f t="shared" si="7"/>
        <v>45962</v>
      </c>
      <c r="E3" s="20">
        <f t="shared" si="7"/>
        <v>45992</v>
      </c>
      <c r="F3" s="20">
        <f t="shared" si="7"/>
        <v>46023</v>
      </c>
      <c r="G3" s="20">
        <f t="shared" si="7"/>
        <v>46054</v>
      </c>
      <c r="H3" s="20">
        <f t="shared" si="7"/>
        <v>46082</v>
      </c>
      <c r="I3" s="20">
        <f t="shared" si="7"/>
        <v>46113</v>
      </c>
      <c r="J3" s="20">
        <f t="shared" si="7"/>
        <v>46143</v>
      </c>
      <c r="K3" s="20">
        <f t="shared" si="7"/>
        <v>46174</v>
      </c>
      <c r="L3" s="20">
        <f t="shared" si="7"/>
        <v>46204</v>
      </c>
      <c r="M3" s="20">
        <f t="shared" si="7"/>
        <v>46235</v>
      </c>
      <c r="N3" s="20">
        <f t="shared" si="7"/>
        <v>46266</v>
      </c>
      <c r="O3" s="20">
        <f t="shared" ref="O3:AK3" si="8">DATE(YEAR(N3),MONTH(N3)+1,1)</f>
        <v>46296</v>
      </c>
      <c r="P3" s="20">
        <f t="shared" si="8"/>
        <v>46327</v>
      </c>
      <c r="Q3" s="20">
        <f t="shared" si="8"/>
        <v>46357</v>
      </c>
      <c r="R3" s="20">
        <f t="shared" si="8"/>
        <v>46388</v>
      </c>
      <c r="S3" s="20">
        <f t="shared" si="8"/>
        <v>46419</v>
      </c>
      <c r="T3" s="20">
        <f t="shared" si="8"/>
        <v>46447</v>
      </c>
      <c r="U3" s="20">
        <f t="shared" si="8"/>
        <v>46478</v>
      </c>
      <c r="V3" s="20">
        <f t="shared" si="8"/>
        <v>46508</v>
      </c>
      <c r="W3" s="20">
        <f t="shared" si="8"/>
        <v>46539</v>
      </c>
      <c r="X3" s="20">
        <f t="shared" si="8"/>
        <v>46569</v>
      </c>
      <c r="Y3" s="20">
        <f t="shared" si="8"/>
        <v>46600</v>
      </c>
      <c r="Z3" s="20">
        <f t="shared" si="8"/>
        <v>46631</v>
      </c>
      <c r="AA3" s="20">
        <f t="shared" si="8"/>
        <v>46661</v>
      </c>
      <c r="AB3" s="20">
        <f t="shared" si="8"/>
        <v>46692</v>
      </c>
      <c r="AC3" s="20">
        <f t="shared" si="8"/>
        <v>46722</v>
      </c>
      <c r="AD3" s="20">
        <f t="shared" si="8"/>
        <v>46753</v>
      </c>
      <c r="AE3" s="20">
        <f t="shared" si="8"/>
        <v>46784</v>
      </c>
      <c r="AF3" s="20">
        <f t="shared" si="8"/>
        <v>46813</v>
      </c>
      <c r="AG3" s="20">
        <f t="shared" si="8"/>
        <v>46844</v>
      </c>
      <c r="AH3" s="20">
        <f t="shared" si="8"/>
        <v>46874</v>
      </c>
      <c r="AI3" s="20">
        <f t="shared" si="8"/>
        <v>46905</v>
      </c>
      <c r="AJ3" s="20">
        <f t="shared" si="8"/>
        <v>46935</v>
      </c>
      <c r="AK3" s="20">
        <f t="shared" si="8"/>
        <v>46966</v>
      </c>
      <c r="AL3" s="20">
        <f t="shared" ref="AL3:BH3" si="9">DATE(YEAR(AK3),MONTH(AK3)+1,1)</f>
        <v>46997</v>
      </c>
      <c r="AM3" s="20">
        <f t="shared" si="9"/>
        <v>47027</v>
      </c>
      <c r="AN3" s="20">
        <f t="shared" si="9"/>
        <v>47058</v>
      </c>
      <c r="AO3" s="20">
        <f t="shared" si="9"/>
        <v>47088</v>
      </c>
      <c r="AP3" s="20">
        <f t="shared" si="9"/>
        <v>47119</v>
      </c>
      <c r="AQ3" s="20">
        <f t="shared" si="9"/>
        <v>47150</v>
      </c>
      <c r="AR3" s="20">
        <f t="shared" si="9"/>
        <v>47178</v>
      </c>
      <c r="AS3" s="20">
        <f t="shared" si="9"/>
        <v>47209</v>
      </c>
      <c r="AT3" s="20">
        <f t="shared" si="9"/>
        <v>47239</v>
      </c>
      <c r="AU3" s="20">
        <f t="shared" si="9"/>
        <v>47270</v>
      </c>
      <c r="AV3" s="20">
        <f t="shared" si="9"/>
        <v>47300</v>
      </c>
      <c r="AW3" s="20">
        <f t="shared" si="9"/>
        <v>47331</v>
      </c>
      <c r="AX3" s="20">
        <f t="shared" si="9"/>
        <v>47362</v>
      </c>
      <c r="AY3" s="20">
        <f t="shared" si="9"/>
        <v>47392</v>
      </c>
      <c r="AZ3" s="20">
        <f t="shared" si="9"/>
        <v>47423</v>
      </c>
      <c r="BA3" s="20">
        <f t="shared" si="9"/>
        <v>47453</v>
      </c>
      <c r="BB3" s="20">
        <f t="shared" si="9"/>
        <v>47484</v>
      </c>
      <c r="BC3" s="20">
        <f t="shared" si="9"/>
        <v>47515</v>
      </c>
      <c r="BD3" s="20">
        <f t="shared" si="9"/>
        <v>47543</v>
      </c>
      <c r="BE3" s="20">
        <f t="shared" si="9"/>
        <v>47574</v>
      </c>
      <c r="BF3" s="20">
        <f t="shared" si="9"/>
        <v>47604</v>
      </c>
      <c r="BG3" s="20">
        <f t="shared" si="9"/>
        <v>47635</v>
      </c>
      <c r="BH3" s="20">
        <f t="shared" si="9"/>
        <v>47665</v>
      </c>
      <c r="BI3" s="20">
        <f t="shared" ref="BI3:BJ3" si="10">DATE(YEAR(BH3),MONTH(BH3)+1,1)</f>
        <v>47696</v>
      </c>
      <c r="BJ3" s="9">
        <f t="shared" si="10"/>
        <v>47727</v>
      </c>
    </row>
    <row r="4" spans="1:120">
      <c r="A4" s="18" t="s">
        <v>10</v>
      </c>
      <c r="B4" s="19">
        <f>C3-B3</f>
        <v>30</v>
      </c>
      <c r="C4" s="19">
        <f>D3-C3</f>
        <v>31</v>
      </c>
      <c r="D4" s="19">
        <f t="shared" ref="D4:AK4" si="11">E3-D3</f>
        <v>30</v>
      </c>
      <c r="E4" s="19">
        <f t="shared" si="11"/>
        <v>31</v>
      </c>
      <c r="F4" s="19">
        <f t="shared" si="11"/>
        <v>31</v>
      </c>
      <c r="G4" s="19">
        <f t="shared" si="11"/>
        <v>28</v>
      </c>
      <c r="H4" s="19">
        <f t="shared" si="11"/>
        <v>31</v>
      </c>
      <c r="I4" s="19">
        <f t="shared" si="11"/>
        <v>30</v>
      </c>
      <c r="J4" s="19">
        <f t="shared" si="11"/>
        <v>31</v>
      </c>
      <c r="K4" s="19">
        <f t="shared" si="11"/>
        <v>30</v>
      </c>
      <c r="L4" s="19">
        <f t="shared" si="11"/>
        <v>31</v>
      </c>
      <c r="M4" s="19">
        <f t="shared" si="11"/>
        <v>31</v>
      </c>
      <c r="N4" s="19">
        <f t="shared" si="11"/>
        <v>30</v>
      </c>
      <c r="O4" s="19">
        <f t="shared" si="11"/>
        <v>31</v>
      </c>
      <c r="P4" s="19">
        <f t="shared" si="11"/>
        <v>30</v>
      </c>
      <c r="Q4" s="19">
        <f t="shared" si="11"/>
        <v>31</v>
      </c>
      <c r="R4" s="19">
        <f t="shared" si="11"/>
        <v>31</v>
      </c>
      <c r="S4" s="19">
        <f t="shared" si="11"/>
        <v>28</v>
      </c>
      <c r="T4" s="19">
        <f t="shared" si="11"/>
        <v>31</v>
      </c>
      <c r="U4" s="19">
        <f t="shared" si="11"/>
        <v>30</v>
      </c>
      <c r="V4" s="19">
        <f t="shared" si="11"/>
        <v>31</v>
      </c>
      <c r="W4" s="19">
        <f t="shared" si="11"/>
        <v>30</v>
      </c>
      <c r="X4" s="19">
        <f t="shared" si="11"/>
        <v>31</v>
      </c>
      <c r="Y4" s="19">
        <f t="shared" si="11"/>
        <v>31</v>
      </c>
      <c r="Z4" s="19">
        <f t="shared" si="11"/>
        <v>30</v>
      </c>
      <c r="AA4" s="19">
        <f t="shared" si="11"/>
        <v>31</v>
      </c>
      <c r="AB4" s="19">
        <f t="shared" si="11"/>
        <v>30</v>
      </c>
      <c r="AC4" s="19">
        <f t="shared" si="11"/>
        <v>31</v>
      </c>
      <c r="AD4" s="19">
        <f t="shared" si="11"/>
        <v>31</v>
      </c>
      <c r="AE4" s="19">
        <f t="shared" si="11"/>
        <v>29</v>
      </c>
      <c r="AF4" s="19">
        <f t="shared" si="11"/>
        <v>31</v>
      </c>
      <c r="AG4" s="19">
        <f t="shared" si="11"/>
        <v>30</v>
      </c>
      <c r="AH4" s="19">
        <f t="shared" si="11"/>
        <v>31</v>
      </c>
      <c r="AI4" s="19">
        <f t="shared" si="11"/>
        <v>30</v>
      </c>
      <c r="AJ4" s="19">
        <f t="shared" si="11"/>
        <v>31</v>
      </c>
      <c r="AK4" s="19">
        <f t="shared" si="11"/>
        <v>31</v>
      </c>
      <c r="AL4" s="19">
        <f t="shared" ref="AL4:BG4" si="12">AM3-AL3</f>
        <v>30</v>
      </c>
      <c r="AM4" s="19">
        <f t="shared" si="12"/>
        <v>31</v>
      </c>
      <c r="AN4" s="19">
        <f t="shared" si="12"/>
        <v>30</v>
      </c>
      <c r="AO4" s="19">
        <f t="shared" si="12"/>
        <v>31</v>
      </c>
      <c r="AP4" s="19">
        <f t="shared" si="12"/>
        <v>31</v>
      </c>
      <c r="AQ4" s="19">
        <f t="shared" si="12"/>
        <v>28</v>
      </c>
      <c r="AR4" s="19">
        <f t="shared" si="12"/>
        <v>31</v>
      </c>
      <c r="AS4" s="19">
        <f t="shared" si="12"/>
        <v>30</v>
      </c>
      <c r="AT4" s="19">
        <f t="shared" si="12"/>
        <v>31</v>
      </c>
      <c r="AU4" s="19">
        <f t="shared" si="12"/>
        <v>30</v>
      </c>
      <c r="AV4" s="19">
        <f t="shared" si="12"/>
        <v>31</v>
      </c>
      <c r="AW4" s="19">
        <f t="shared" si="12"/>
        <v>31</v>
      </c>
      <c r="AX4" s="19">
        <f t="shared" si="12"/>
        <v>30</v>
      </c>
      <c r="AY4" s="19">
        <f t="shared" si="12"/>
        <v>31</v>
      </c>
      <c r="AZ4" s="19">
        <f t="shared" si="12"/>
        <v>30</v>
      </c>
      <c r="BA4" s="19">
        <f t="shared" si="12"/>
        <v>31</v>
      </c>
      <c r="BB4" s="19">
        <f t="shared" si="12"/>
        <v>31</v>
      </c>
      <c r="BC4" s="19">
        <f t="shared" si="12"/>
        <v>28</v>
      </c>
      <c r="BD4" s="19">
        <f t="shared" si="12"/>
        <v>31</v>
      </c>
      <c r="BE4" s="19">
        <f t="shared" si="12"/>
        <v>30</v>
      </c>
      <c r="BF4" s="19">
        <f t="shared" si="12"/>
        <v>31</v>
      </c>
      <c r="BG4" s="19">
        <f t="shared" si="12"/>
        <v>30</v>
      </c>
      <c r="BH4" s="19">
        <f t="shared" ref="BH4:BI4" si="13">BI3-BH3</f>
        <v>31</v>
      </c>
      <c r="BI4" s="19">
        <f t="shared" si="13"/>
        <v>31</v>
      </c>
    </row>
    <row r="5" spans="1:120">
      <c r="A5" s="18" t="s">
        <v>9</v>
      </c>
      <c r="B5" s="19">
        <v>1</v>
      </c>
      <c r="C5" s="19">
        <f>B5+1</f>
        <v>2</v>
      </c>
      <c r="D5" s="19">
        <f t="shared" ref="D5:AK5" si="14">C5+1</f>
        <v>3</v>
      </c>
      <c r="E5" s="19">
        <f t="shared" si="14"/>
        <v>4</v>
      </c>
      <c r="F5" s="19">
        <f t="shared" si="14"/>
        <v>5</v>
      </c>
      <c r="G5" s="19">
        <f t="shared" si="14"/>
        <v>6</v>
      </c>
      <c r="H5" s="19">
        <f t="shared" si="14"/>
        <v>7</v>
      </c>
      <c r="I5" s="19">
        <f t="shared" si="14"/>
        <v>8</v>
      </c>
      <c r="J5" s="19">
        <f t="shared" si="14"/>
        <v>9</v>
      </c>
      <c r="K5" s="19">
        <f t="shared" si="14"/>
        <v>10</v>
      </c>
      <c r="L5" s="19">
        <f t="shared" si="14"/>
        <v>11</v>
      </c>
      <c r="M5" s="19">
        <f t="shared" si="14"/>
        <v>12</v>
      </c>
      <c r="N5" s="19">
        <f t="shared" si="14"/>
        <v>13</v>
      </c>
      <c r="O5" s="19">
        <f t="shared" si="14"/>
        <v>14</v>
      </c>
      <c r="P5" s="19">
        <f t="shared" si="14"/>
        <v>15</v>
      </c>
      <c r="Q5" s="19">
        <f t="shared" si="14"/>
        <v>16</v>
      </c>
      <c r="R5" s="19">
        <f t="shared" si="14"/>
        <v>17</v>
      </c>
      <c r="S5" s="19">
        <f t="shared" si="14"/>
        <v>18</v>
      </c>
      <c r="T5" s="19">
        <f t="shared" si="14"/>
        <v>19</v>
      </c>
      <c r="U5" s="19">
        <f t="shared" si="14"/>
        <v>20</v>
      </c>
      <c r="V5" s="19">
        <f t="shared" si="14"/>
        <v>21</v>
      </c>
      <c r="W5" s="19">
        <f t="shared" si="14"/>
        <v>22</v>
      </c>
      <c r="X5" s="19">
        <f t="shared" si="14"/>
        <v>23</v>
      </c>
      <c r="Y5" s="19">
        <f t="shared" si="14"/>
        <v>24</v>
      </c>
      <c r="Z5" s="19">
        <f t="shared" si="14"/>
        <v>25</v>
      </c>
      <c r="AA5" s="19">
        <f t="shared" si="14"/>
        <v>26</v>
      </c>
      <c r="AB5" s="19">
        <f t="shared" si="14"/>
        <v>27</v>
      </c>
      <c r="AC5" s="19">
        <f t="shared" si="14"/>
        <v>28</v>
      </c>
      <c r="AD5" s="19">
        <f t="shared" si="14"/>
        <v>29</v>
      </c>
      <c r="AE5" s="19">
        <f t="shared" si="14"/>
        <v>30</v>
      </c>
      <c r="AF5" s="19">
        <f t="shared" si="14"/>
        <v>31</v>
      </c>
      <c r="AG5" s="19">
        <f t="shared" si="14"/>
        <v>32</v>
      </c>
      <c r="AH5" s="19">
        <f t="shared" si="14"/>
        <v>33</v>
      </c>
      <c r="AI5" s="19">
        <f>AH5+1</f>
        <v>34</v>
      </c>
      <c r="AJ5" s="19">
        <f t="shared" si="14"/>
        <v>35</v>
      </c>
      <c r="AK5" s="19">
        <f t="shared" si="14"/>
        <v>36</v>
      </c>
      <c r="AL5" s="19">
        <f t="shared" ref="AL5:BH5" si="15">AK5+1</f>
        <v>37</v>
      </c>
      <c r="AM5" s="19">
        <f t="shared" si="15"/>
        <v>38</v>
      </c>
      <c r="AN5" s="19">
        <f t="shared" si="15"/>
        <v>39</v>
      </c>
      <c r="AO5" s="19">
        <f t="shared" si="15"/>
        <v>40</v>
      </c>
      <c r="AP5" s="19">
        <f t="shared" si="15"/>
        <v>41</v>
      </c>
      <c r="AQ5" s="19">
        <f t="shared" si="15"/>
        <v>42</v>
      </c>
      <c r="AR5" s="19">
        <f t="shared" si="15"/>
        <v>43</v>
      </c>
      <c r="AS5" s="19">
        <f t="shared" si="15"/>
        <v>44</v>
      </c>
      <c r="AT5" s="19">
        <f t="shared" si="15"/>
        <v>45</v>
      </c>
      <c r="AU5" s="19">
        <f t="shared" si="15"/>
        <v>46</v>
      </c>
      <c r="AV5" s="19">
        <f t="shared" si="15"/>
        <v>47</v>
      </c>
      <c r="AW5" s="19">
        <f t="shared" si="15"/>
        <v>48</v>
      </c>
      <c r="AX5" s="19">
        <f t="shared" si="15"/>
        <v>49</v>
      </c>
      <c r="AY5" s="19">
        <f t="shared" si="15"/>
        <v>50</v>
      </c>
      <c r="AZ5" s="19">
        <f t="shared" si="15"/>
        <v>51</v>
      </c>
      <c r="BA5" s="19">
        <f t="shared" si="15"/>
        <v>52</v>
      </c>
      <c r="BB5" s="19">
        <f t="shared" si="15"/>
        <v>53</v>
      </c>
      <c r="BC5" s="19">
        <f t="shared" si="15"/>
        <v>54</v>
      </c>
      <c r="BD5" s="19">
        <f t="shared" si="15"/>
        <v>55</v>
      </c>
      <c r="BE5" s="19">
        <f t="shared" si="15"/>
        <v>56</v>
      </c>
      <c r="BF5" s="19">
        <f t="shared" si="15"/>
        <v>57</v>
      </c>
      <c r="BG5" s="19">
        <f t="shared" si="15"/>
        <v>58</v>
      </c>
      <c r="BH5" s="19">
        <f t="shared" si="15"/>
        <v>59</v>
      </c>
      <c r="BI5" s="19">
        <f t="shared" ref="BI5" si="16">BH5+1</f>
        <v>60</v>
      </c>
    </row>
    <row r="6" spans="1:120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BK6" s="4"/>
      <c r="BM6" s="4"/>
      <c r="BR6" s="4"/>
      <c r="BT6" s="4"/>
      <c r="BV6" s="4"/>
      <c r="BX6" s="4"/>
      <c r="BZ6" s="4"/>
      <c r="CB6" s="4"/>
      <c r="CD6" s="4"/>
      <c r="CF6" s="4"/>
      <c r="CH6" s="4"/>
      <c r="CJ6" s="4"/>
      <c r="CL6" s="4"/>
      <c r="CN6" s="4"/>
      <c r="CP6" s="4"/>
      <c r="CR6" s="4"/>
      <c r="CT6" s="4"/>
      <c r="CV6" s="4"/>
      <c r="CX6" s="4"/>
      <c r="CZ6" s="4"/>
      <c r="DB6" s="4"/>
      <c r="DD6" s="4"/>
      <c r="DF6" s="4"/>
      <c r="DH6" s="4"/>
      <c r="DJ6" s="4"/>
      <c r="DL6" s="4"/>
      <c r="DN6" s="4"/>
      <c r="DP6" s="4"/>
    </row>
    <row r="7" spans="1:120">
      <c r="B7" s="4"/>
      <c r="C7" s="4"/>
      <c r="D7" s="5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</row>
    <row r="8" spans="1:120">
      <c r="A8" s="18" t="s">
        <v>267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</row>
    <row r="9" spans="1:120">
      <c r="A9" s="66" t="s">
        <v>29</v>
      </c>
      <c r="B9" s="25">
        <f>Выручка!B$19</f>
        <v>0</v>
      </c>
      <c r="C9" s="25">
        <f>Выручка!C$19</f>
        <v>0</v>
      </c>
      <c r="D9" s="25">
        <f>Выручка!D$19</f>
        <v>0</v>
      </c>
      <c r="E9" s="25">
        <f>Выручка!E$19</f>
        <v>48363.333333333336</v>
      </c>
      <c r="F9" s="25">
        <f>Выручка!F$19</f>
        <v>101563</v>
      </c>
      <c r="G9" s="25">
        <f>Выручка!G$19</f>
        <v>152344.50000000003</v>
      </c>
      <c r="H9" s="25">
        <f>Выручка!H$19</f>
        <v>203126</v>
      </c>
      <c r="I9" s="25">
        <f>Выручка!I$19</f>
        <v>253907.50000000003</v>
      </c>
      <c r="J9" s="25">
        <f>Выручка!J$19</f>
        <v>253907.50000000003</v>
      </c>
      <c r="K9" s="25">
        <f>Выручка!K$19</f>
        <v>253907.50000000003</v>
      </c>
      <c r="L9" s="25">
        <f>Выручка!L$19</f>
        <v>253907.50000000003</v>
      </c>
      <c r="M9" s="25">
        <f>Выручка!M$19</f>
        <v>253907.50000000003</v>
      </c>
      <c r="N9" s="25">
        <f>Выручка!N$19</f>
        <v>253907.50000000003</v>
      </c>
      <c r="O9" s="25">
        <f>Выручка!O$19</f>
        <v>253907.50000000003</v>
      </c>
      <c r="P9" s="25">
        <f>Выручка!P$19</f>
        <v>253907.50000000003</v>
      </c>
      <c r="Q9" s="25">
        <f>Выручка!Q$19</f>
        <v>253907.50000000003</v>
      </c>
      <c r="R9" s="25">
        <f>Выручка!R$19</f>
        <v>266602.87500000006</v>
      </c>
      <c r="S9" s="25">
        <f>Выручка!S$19</f>
        <v>266602.87500000006</v>
      </c>
      <c r="T9" s="25">
        <f>Выручка!T$19</f>
        <v>266602.87500000006</v>
      </c>
      <c r="U9" s="25">
        <f>Выручка!U$19</f>
        <v>266602.87500000006</v>
      </c>
      <c r="V9" s="25">
        <f>Выручка!V$19</f>
        <v>266602.87500000006</v>
      </c>
      <c r="W9" s="25">
        <f>Выручка!W$19</f>
        <v>266602.87500000006</v>
      </c>
      <c r="X9" s="25">
        <f>Выручка!X$19</f>
        <v>266602.87500000006</v>
      </c>
      <c r="Y9" s="25">
        <f>Выручка!Y$19</f>
        <v>266602.87500000006</v>
      </c>
      <c r="Z9" s="25">
        <f>Выручка!Z$19</f>
        <v>266602.87500000006</v>
      </c>
      <c r="AA9" s="25">
        <f>Выручка!AA$19</f>
        <v>266602.87500000006</v>
      </c>
      <c r="AB9" s="25">
        <f>Выручка!AB$19</f>
        <v>266602.87500000006</v>
      </c>
      <c r="AC9" s="25">
        <f>Выручка!AC$19</f>
        <v>266602.87500000006</v>
      </c>
      <c r="AD9" s="25">
        <f>Выручка!AD$19</f>
        <v>279933.01875000005</v>
      </c>
      <c r="AE9" s="25">
        <f>Выручка!AE$19</f>
        <v>279933.01875000005</v>
      </c>
      <c r="AF9" s="25">
        <f>Выручка!AF$19</f>
        <v>279933.01875000005</v>
      </c>
      <c r="AG9" s="25">
        <f>Выручка!AG$19</f>
        <v>279933.01875000005</v>
      </c>
      <c r="AH9" s="25">
        <f>Выручка!AH$19</f>
        <v>279933.01875000005</v>
      </c>
      <c r="AI9" s="25">
        <f>Выручка!AI$19</f>
        <v>279933.01875000005</v>
      </c>
      <c r="AJ9" s="25">
        <f>Выручка!AJ$19</f>
        <v>279933.01875000005</v>
      </c>
      <c r="AK9" s="25">
        <f>Выручка!AK$19</f>
        <v>279933.01875000005</v>
      </c>
      <c r="AL9" s="25">
        <f>Выручка!AL$19</f>
        <v>279933.01875000005</v>
      </c>
      <c r="AM9" s="25">
        <f>Выручка!AM$19</f>
        <v>279933.01875000005</v>
      </c>
      <c r="AN9" s="25">
        <f>Выручка!AN$19</f>
        <v>279933.01875000005</v>
      </c>
      <c r="AO9" s="25">
        <f>Выручка!AO$19</f>
        <v>279933.01875000005</v>
      </c>
      <c r="AP9" s="25">
        <f>Выручка!AP$19</f>
        <v>293929.66968750011</v>
      </c>
      <c r="AQ9" s="25">
        <f>Выручка!AQ$19</f>
        <v>293929.66968750011</v>
      </c>
      <c r="AR9" s="25">
        <f>Выручка!AR$19</f>
        <v>293929.66968750011</v>
      </c>
      <c r="AS9" s="25">
        <f>Выручка!AS$19</f>
        <v>293929.66968750011</v>
      </c>
      <c r="AT9" s="25">
        <f>Выручка!AT$19</f>
        <v>293929.66968750011</v>
      </c>
      <c r="AU9" s="25">
        <f>Выручка!AU$19</f>
        <v>293929.66968750011</v>
      </c>
      <c r="AV9" s="25">
        <f>Выручка!AV$19</f>
        <v>293929.66968750011</v>
      </c>
      <c r="AW9" s="25">
        <f>Выручка!AW$19</f>
        <v>293929.66968750011</v>
      </c>
      <c r="AX9" s="25">
        <f>Выручка!AX$19</f>
        <v>293929.66968750011</v>
      </c>
      <c r="AY9" s="25">
        <f>Выручка!AY$19</f>
        <v>293929.66968750011</v>
      </c>
      <c r="AZ9" s="25">
        <f>Выручка!AZ$19</f>
        <v>293929.66968750011</v>
      </c>
      <c r="BA9" s="25">
        <f>Выручка!BA$19</f>
        <v>293929.66968750011</v>
      </c>
      <c r="BB9" s="25">
        <f>Выручка!BB$19</f>
        <v>308626.15317187516</v>
      </c>
      <c r="BC9" s="25">
        <f>Выручка!BC$19</f>
        <v>308626.15317187516</v>
      </c>
      <c r="BD9" s="25">
        <f>Выручка!BD$19</f>
        <v>308626.15317187516</v>
      </c>
      <c r="BE9" s="25">
        <f>Выручка!BE$19</f>
        <v>308626.15317187516</v>
      </c>
      <c r="BF9" s="25">
        <f>Выручка!BF$19</f>
        <v>308626.15317187516</v>
      </c>
      <c r="BG9" s="25">
        <f>Выручка!BG$19</f>
        <v>308626.15317187516</v>
      </c>
      <c r="BH9" s="25">
        <f>Выручка!BH$19</f>
        <v>308626.15317187516</v>
      </c>
      <c r="BI9" s="25">
        <f>Выручка!BI$19</f>
        <v>308626.15317187516</v>
      </c>
      <c r="BK9" s="25">
        <f t="shared" ref="BK9:BP14" si="17">SUMIF($B$2:$BI$2,BK$2,$B9:$BI9)</f>
        <v>48363.333333333336</v>
      </c>
      <c r="BL9" s="25">
        <f t="shared" si="17"/>
        <v>2742201</v>
      </c>
      <c r="BM9" s="25">
        <f t="shared" si="17"/>
        <v>3199234.5000000005</v>
      </c>
      <c r="BN9" s="25">
        <f t="shared" si="17"/>
        <v>3359196.2249999996</v>
      </c>
      <c r="BO9" s="25">
        <f t="shared" si="17"/>
        <v>3527156.0362500022</v>
      </c>
      <c r="BP9" s="25">
        <f t="shared" si="17"/>
        <v>2469009.2253750009</v>
      </c>
      <c r="BR9" s="61">
        <f>SUM(BK9:BP9)</f>
        <v>15345160.319958337</v>
      </c>
    </row>
    <row r="10" spans="1:120">
      <c r="A10" s="27" t="s">
        <v>30</v>
      </c>
      <c r="B10" s="25">
        <f>-Затраты!C$28</f>
        <v>0</v>
      </c>
      <c r="C10" s="25">
        <f>-Затраты!D$28</f>
        <v>0</v>
      </c>
      <c r="D10" s="25">
        <f>-Затраты!E$28</f>
        <v>-28925.833333333328</v>
      </c>
      <c r="E10" s="25">
        <f>-Затраты!F$28</f>
        <v>-67585.247755324061</v>
      </c>
      <c r="F10" s="25">
        <f>-Затраты!G$28</f>
        <v>-101139.06105499074</v>
      </c>
      <c r="G10" s="25">
        <f>-Затраты!H$28</f>
        <v>-131511.18605499074</v>
      </c>
      <c r="H10" s="25">
        <f>-Затраты!I$28</f>
        <v>-161883.31105499077</v>
      </c>
      <c r="I10" s="25">
        <f>-Затраты!J$28</f>
        <v>-161883.31105499077</v>
      </c>
      <c r="J10" s="25">
        <f>-Затраты!K$28</f>
        <v>-161883.31105499077</v>
      </c>
      <c r="K10" s="25">
        <f>-Затраты!L$28</f>
        <v>-161883.31105499077</v>
      </c>
      <c r="L10" s="25">
        <f>-Затраты!M$28</f>
        <v>-161883.31105499077</v>
      </c>
      <c r="M10" s="25">
        <f>-Затраты!N$28</f>
        <v>-161883.31105499077</v>
      </c>
      <c r="N10" s="25">
        <f>-Затраты!O$28</f>
        <v>-161883.31105499077</v>
      </c>
      <c r="O10" s="25">
        <f>-Затраты!P$28</f>
        <v>-161883.31105499077</v>
      </c>
      <c r="P10" s="25">
        <f>-Затраты!Q$28</f>
        <v>-161883.31105499077</v>
      </c>
      <c r="Q10" s="25">
        <f>-Затраты!R$28</f>
        <v>-161883.31105499077</v>
      </c>
      <c r="R10" s="25">
        <f>-Затраты!S$28</f>
        <v>-169775.16655698075</v>
      </c>
      <c r="S10" s="25">
        <f>-Затраты!T$28</f>
        <v>-169775.16655698075</v>
      </c>
      <c r="T10" s="25">
        <f>-Затраты!U$28</f>
        <v>-169775.16655698075</v>
      </c>
      <c r="U10" s="25">
        <f>-Затраты!V$28</f>
        <v>-169775.16655698075</v>
      </c>
      <c r="V10" s="25">
        <f>-Затраты!W$28</f>
        <v>-169775.16655698075</v>
      </c>
      <c r="W10" s="25">
        <f>-Затраты!X$28</f>
        <v>-169775.16655698075</v>
      </c>
      <c r="X10" s="25">
        <f>-Затраты!Y$28</f>
        <v>-169775.16655698075</v>
      </c>
      <c r="Y10" s="25">
        <f>-Затраты!Z$28</f>
        <v>-169775.16655698075</v>
      </c>
      <c r="Z10" s="25">
        <f>-Затраты!AA$28</f>
        <v>-169775.16655698075</v>
      </c>
      <c r="AA10" s="25">
        <f>-Затраты!AB$28</f>
        <v>-169775.16655698075</v>
      </c>
      <c r="AB10" s="25">
        <f>-Затраты!AC$28</f>
        <v>-169775.16655698075</v>
      </c>
      <c r="AC10" s="25">
        <f>-Затраты!AD$28</f>
        <v>-169775.16655698075</v>
      </c>
      <c r="AD10" s="25">
        <f>-Затраты!AE$28</f>
        <v>-178056.73679253049</v>
      </c>
      <c r="AE10" s="25">
        <f>-Затраты!AF$28</f>
        <v>-178056.73679253049</v>
      </c>
      <c r="AF10" s="25">
        <f>-Затраты!AG$28</f>
        <v>-178056.73679253049</v>
      </c>
      <c r="AG10" s="25">
        <f>-Затраты!AH$28</f>
        <v>-178056.73679253049</v>
      </c>
      <c r="AH10" s="25">
        <f>-Затраты!AI$28</f>
        <v>-178056.73679253049</v>
      </c>
      <c r="AI10" s="25">
        <f>-Затраты!AJ$28</f>
        <v>-178056.73679253049</v>
      </c>
      <c r="AJ10" s="25">
        <f>-Затраты!AK$28</f>
        <v>-178056.73679253049</v>
      </c>
      <c r="AK10" s="25">
        <f>-Затраты!AL$28</f>
        <v>-178056.73679253049</v>
      </c>
      <c r="AL10" s="25">
        <f>-Затраты!AM$28</f>
        <v>-178056.73679253049</v>
      </c>
      <c r="AM10" s="25">
        <f>-Затраты!AN$28</f>
        <v>-178056.73679253049</v>
      </c>
      <c r="AN10" s="25">
        <f>-Затраты!AO$28</f>
        <v>-178056.73679253049</v>
      </c>
      <c r="AO10" s="25">
        <f>-Затраты!AP$28</f>
        <v>-178056.73679253049</v>
      </c>
      <c r="AP10" s="25">
        <f>-Затраты!AQ$28</f>
        <v>-186747.36115707166</v>
      </c>
      <c r="AQ10" s="25">
        <f>-Затраты!AR$28</f>
        <v>-186747.36115707166</v>
      </c>
      <c r="AR10" s="25">
        <f>-Затраты!AS$28</f>
        <v>-186747.36115707166</v>
      </c>
      <c r="AS10" s="25">
        <f>-Затраты!AT$28</f>
        <v>-186747.36115707166</v>
      </c>
      <c r="AT10" s="25">
        <f>-Затраты!AU$28</f>
        <v>-186747.36115707166</v>
      </c>
      <c r="AU10" s="25">
        <f>-Затраты!AV$28</f>
        <v>-186747.36115707166</v>
      </c>
      <c r="AV10" s="25">
        <f>-Затраты!AW$28</f>
        <v>-186747.36115707166</v>
      </c>
      <c r="AW10" s="25">
        <f>-Затраты!AX$28</f>
        <v>-186747.36115707166</v>
      </c>
      <c r="AX10" s="25">
        <f>-Затраты!AY$28</f>
        <v>-186747.36115707166</v>
      </c>
      <c r="AY10" s="25">
        <f>-Затраты!AZ$28</f>
        <v>-186747.36115707166</v>
      </c>
      <c r="AZ10" s="25">
        <f>-Затраты!BA$28</f>
        <v>-186747.36115707166</v>
      </c>
      <c r="BA10" s="25">
        <f>-Затраты!BB$28</f>
        <v>-186747.36115707166</v>
      </c>
      <c r="BB10" s="25">
        <f>-Затраты!BC$28</f>
        <v>-195867.34162557044</v>
      </c>
      <c r="BC10" s="25">
        <f>-Затраты!BD$28</f>
        <v>-195867.34162557044</v>
      </c>
      <c r="BD10" s="25">
        <f>-Затраты!BE$28</f>
        <v>-195867.34162557044</v>
      </c>
      <c r="BE10" s="25">
        <f>-Затраты!BF$28</f>
        <v>-195867.34162557044</v>
      </c>
      <c r="BF10" s="25">
        <f>-Затраты!BG$28</f>
        <v>-195867.34162557044</v>
      </c>
      <c r="BG10" s="25">
        <f>-Затраты!BH$28</f>
        <v>-195867.34162557044</v>
      </c>
      <c r="BH10" s="25">
        <f>-Затраты!BI$28</f>
        <v>-195867.34162557044</v>
      </c>
      <c r="BI10" s="25">
        <f>-Затраты!BJ$28</f>
        <v>-11279.802809164059</v>
      </c>
      <c r="BK10" s="25">
        <f t="shared" si="17"/>
        <v>-96511.081088657389</v>
      </c>
      <c r="BL10" s="25">
        <f t="shared" si="17"/>
        <v>-1851483.3576598894</v>
      </c>
      <c r="BM10" s="25">
        <f t="shared" si="17"/>
        <v>-2037301.9986837686</v>
      </c>
      <c r="BN10" s="25">
        <f t="shared" si="17"/>
        <v>-2136680.8415103653</v>
      </c>
      <c r="BO10" s="25">
        <f t="shared" si="17"/>
        <v>-2240968.3338848604</v>
      </c>
      <c r="BP10" s="25">
        <f t="shared" si="17"/>
        <v>-1382351.1941881573</v>
      </c>
      <c r="BR10" s="61">
        <f t="shared" ref="BR10:BR14" si="18">SUM(BK10:BP10)</f>
        <v>-9745296.8070156984</v>
      </c>
    </row>
    <row r="11" spans="1:120">
      <c r="A11" s="66" t="s">
        <v>147</v>
      </c>
      <c r="B11" s="25">
        <f>SUM(B9:B10)</f>
        <v>0</v>
      </c>
      <c r="C11" s="25">
        <f t="shared" ref="C11:BI11" si="19">SUM(C9:C10)</f>
        <v>0</v>
      </c>
      <c r="D11" s="25">
        <f t="shared" si="19"/>
        <v>-28925.833333333328</v>
      </c>
      <c r="E11" s="25">
        <f t="shared" si="19"/>
        <v>-19221.914421990725</v>
      </c>
      <c r="F11" s="25">
        <f t="shared" si="19"/>
        <v>423.93894500925671</v>
      </c>
      <c r="G11" s="25">
        <f t="shared" si="19"/>
        <v>20833.313945009286</v>
      </c>
      <c r="H11" s="25">
        <f t="shared" si="19"/>
        <v>41242.688945009228</v>
      </c>
      <c r="I11" s="25">
        <f t="shared" si="19"/>
        <v>92024.188945009257</v>
      </c>
      <c r="J11" s="25">
        <f t="shared" si="19"/>
        <v>92024.188945009257</v>
      </c>
      <c r="K11" s="25">
        <f t="shared" si="19"/>
        <v>92024.188945009257</v>
      </c>
      <c r="L11" s="25">
        <f t="shared" si="19"/>
        <v>92024.188945009257</v>
      </c>
      <c r="M11" s="25">
        <f t="shared" si="19"/>
        <v>92024.188945009257</v>
      </c>
      <c r="N11" s="25">
        <f t="shared" si="19"/>
        <v>92024.188945009257</v>
      </c>
      <c r="O11" s="25">
        <f t="shared" si="19"/>
        <v>92024.188945009257</v>
      </c>
      <c r="P11" s="25">
        <f t="shared" si="19"/>
        <v>92024.188945009257</v>
      </c>
      <c r="Q11" s="25">
        <f t="shared" si="19"/>
        <v>92024.188945009257</v>
      </c>
      <c r="R11" s="25">
        <f t="shared" si="19"/>
        <v>96827.708443019306</v>
      </c>
      <c r="S11" s="25">
        <f t="shared" si="19"/>
        <v>96827.708443019306</v>
      </c>
      <c r="T11" s="25">
        <f t="shared" si="19"/>
        <v>96827.708443019306</v>
      </c>
      <c r="U11" s="25">
        <f t="shared" si="19"/>
        <v>96827.708443019306</v>
      </c>
      <c r="V11" s="25">
        <f t="shared" si="19"/>
        <v>96827.708443019306</v>
      </c>
      <c r="W11" s="25">
        <f t="shared" si="19"/>
        <v>96827.708443019306</v>
      </c>
      <c r="X11" s="25">
        <f t="shared" si="19"/>
        <v>96827.708443019306</v>
      </c>
      <c r="Y11" s="25">
        <f t="shared" si="19"/>
        <v>96827.708443019306</v>
      </c>
      <c r="Z11" s="25">
        <f t="shared" si="19"/>
        <v>96827.708443019306</v>
      </c>
      <c r="AA11" s="25">
        <f t="shared" si="19"/>
        <v>96827.708443019306</v>
      </c>
      <c r="AB11" s="25">
        <f t="shared" si="19"/>
        <v>96827.708443019306</v>
      </c>
      <c r="AC11" s="25">
        <f t="shared" si="19"/>
        <v>96827.708443019306</v>
      </c>
      <c r="AD11" s="25">
        <f t="shared" si="19"/>
        <v>101876.28195746956</v>
      </c>
      <c r="AE11" s="25">
        <f t="shared" si="19"/>
        <v>101876.28195746956</v>
      </c>
      <c r="AF11" s="25">
        <f t="shared" si="19"/>
        <v>101876.28195746956</v>
      </c>
      <c r="AG11" s="25">
        <f t="shared" si="19"/>
        <v>101876.28195746956</v>
      </c>
      <c r="AH11" s="25">
        <f t="shared" si="19"/>
        <v>101876.28195746956</v>
      </c>
      <c r="AI11" s="25">
        <f t="shared" si="19"/>
        <v>101876.28195746956</v>
      </c>
      <c r="AJ11" s="25">
        <f t="shared" si="19"/>
        <v>101876.28195746956</v>
      </c>
      <c r="AK11" s="25">
        <f t="shared" si="19"/>
        <v>101876.28195746956</v>
      </c>
      <c r="AL11" s="25">
        <f t="shared" si="19"/>
        <v>101876.28195746956</v>
      </c>
      <c r="AM11" s="25">
        <f t="shared" si="19"/>
        <v>101876.28195746956</v>
      </c>
      <c r="AN11" s="25">
        <f t="shared" si="19"/>
        <v>101876.28195746956</v>
      </c>
      <c r="AO11" s="25">
        <f t="shared" si="19"/>
        <v>101876.28195746956</v>
      </c>
      <c r="AP11" s="25">
        <f t="shared" si="19"/>
        <v>107182.30853042845</v>
      </c>
      <c r="AQ11" s="25">
        <f t="shared" si="19"/>
        <v>107182.30853042845</v>
      </c>
      <c r="AR11" s="25">
        <f t="shared" si="19"/>
        <v>107182.30853042845</v>
      </c>
      <c r="AS11" s="25">
        <f t="shared" si="19"/>
        <v>107182.30853042845</v>
      </c>
      <c r="AT11" s="25">
        <f t="shared" si="19"/>
        <v>107182.30853042845</v>
      </c>
      <c r="AU11" s="25">
        <f t="shared" si="19"/>
        <v>107182.30853042845</v>
      </c>
      <c r="AV11" s="25">
        <f t="shared" si="19"/>
        <v>107182.30853042845</v>
      </c>
      <c r="AW11" s="25">
        <f t="shared" si="19"/>
        <v>107182.30853042845</v>
      </c>
      <c r="AX11" s="25">
        <f t="shared" si="19"/>
        <v>107182.30853042845</v>
      </c>
      <c r="AY11" s="25">
        <f t="shared" si="19"/>
        <v>107182.30853042845</v>
      </c>
      <c r="AZ11" s="25">
        <f t="shared" si="19"/>
        <v>107182.30853042845</v>
      </c>
      <c r="BA11" s="25">
        <f t="shared" si="19"/>
        <v>107182.30853042845</v>
      </c>
      <c r="BB11" s="25">
        <f t="shared" si="19"/>
        <v>112758.81154630473</v>
      </c>
      <c r="BC11" s="25">
        <f t="shared" si="19"/>
        <v>112758.81154630473</v>
      </c>
      <c r="BD11" s="25">
        <f t="shared" si="19"/>
        <v>112758.81154630473</v>
      </c>
      <c r="BE11" s="25">
        <f t="shared" si="19"/>
        <v>112758.81154630473</v>
      </c>
      <c r="BF11" s="25">
        <f t="shared" si="19"/>
        <v>112758.81154630473</v>
      </c>
      <c r="BG11" s="25">
        <f t="shared" si="19"/>
        <v>112758.81154630473</v>
      </c>
      <c r="BH11" s="25">
        <f t="shared" si="19"/>
        <v>112758.81154630473</v>
      </c>
      <c r="BI11" s="25">
        <f t="shared" si="19"/>
        <v>297346.35036271112</v>
      </c>
      <c r="BK11" s="25">
        <f t="shared" si="17"/>
        <v>-48147.747755324053</v>
      </c>
      <c r="BL11" s="25">
        <f t="shared" si="17"/>
        <v>890717.64234011108</v>
      </c>
      <c r="BM11" s="25">
        <f t="shared" si="17"/>
        <v>1161932.5013162317</v>
      </c>
      <c r="BN11" s="25">
        <f t="shared" si="17"/>
        <v>1222515.3834896346</v>
      </c>
      <c r="BO11" s="25">
        <f t="shared" si="17"/>
        <v>1286187.7023651414</v>
      </c>
      <c r="BP11" s="25">
        <f t="shared" si="17"/>
        <v>1086658.0311868442</v>
      </c>
      <c r="BR11" s="61">
        <f t="shared" si="18"/>
        <v>5599863.5129426392</v>
      </c>
    </row>
    <row r="12" spans="1:120">
      <c r="A12" s="27" t="s">
        <v>31</v>
      </c>
      <c r="B12" s="25">
        <f>-Затраты!C$36</f>
        <v>0</v>
      </c>
      <c r="C12" s="25">
        <f>-Затраты!D$36</f>
        <v>0</v>
      </c>
      <c r="D12" s="25">
        <f>-Затраты!E$36</f>
        <v>0</v>
      </c>
      <c r="E12" s="25">
        <f>-Затраты!F$36</f>
        <v>-1014.1654666666668</v>
      </c>
      <c r="F12" s="25">
        <f>-Затраты!G$36</f>
        <v>-1048.023764</v>
      </c>
      <c r="G12" s="25">
        <f>-Затраты!H$36</f>
        <v>-1048.023764</v>
      </c>
      <c r="H12" s="25">
        <f>-Затраты!I$36</f>
        <v>-1048.023764</v>
      </c>
      <c r="I12" s="25">
        <f>-Затраты!J$36</f>
        <v>-1048.023764</v>
      </c>
      <c r="J12" s="25">
        <f>-Затраты!K$36</f>
        <v>-1048.023764</v>
      </c>
      <c r="K12" s="25">
        <f>-Затраты!L$36</f>
        <v>-1048.023764</v>
      </c>
      <c r="L12" s="25">
        <f>-Затраты!M$36</f>
        <v>-1048.023764</v>
      </c>
      <c r="M12" s="25">
        <f>-Затраты!N$36</f>
        <v>-1048.023764</v>
      </c>
      <c r="N12" s="25">
        <f>-Затраты!O$36</f>
        <v>-1048.023764</v>
      </c>
      <c r="O12" s="25">
        <f>-Затраты!P$36</f>
        <v>-1048.023764</v>
      </c>
      <c r="P12" s="25">
        <f>-Затраты!Q$36</f>
        <v>-1048.023764</v>
      </c>
      <c r="Q12" s="25">
        <f>-Затраты!R$36</f>
        <v>-1048.023764</v>
      </c>
      <c r="R12" s="25">
        <f>-Затраты!S$36</f>
        <v>-1083.0694769199999</v>
      </c>
      <c r="S12" s="25">
        <f>-Затраты!T$36</f>
        <v>-1083.0694769199999</v>
      </c>
      <c r="T12" s="25">
        <f>-Затраты!U$36</f>
        <v>-1083.0694769199999</v>
      </c>
      <c r="U12" s="25">
        <f>-Затраты!V$36</f>
        <v>-1083.0694769199999</v>
      </c>
      <c r="V12" s="25">
        <f>-Затраты!W$36</f>
        <v>-1083.0694769199999</v>
      </c>
      <c r="W12" s="25">
        <f>-Затраты!X$36</f>
        <v>-1083.0694769199999</v>
      </c>
      <c r="X12" s="25">
        <f>-Затраты!Y$36</f>
        <v>-1083.0694769199999</v>
      </c>
      <c r="Y12" s="25">
        <f>-Затраты!Z$36</f>
        <v>-1083.0694769199999</v>
      </c>
      <c r="Z12" s="25">
        <f>-Затраты!AA$36</f>
        <v>-1083.0694769199999</v>
      </c>
      <c r="AA12" s="25">
        <f>-Затраты!AB$36</f>
        <v>-1083.0694769199999</v>
      </c>
      <c r="AB12" s="25">
        <f>-Затраты!AC$36</f>
        <v>-1083.0694769199999</v>
      </c>
      <c r="AC12" s="25">
        <f>-Затраты!AD$36</f>
        <v>-1083.0694769199999</v>
      </c>
      <c r="AD12" s="25">
        <f>-Затраты!AE$36</f>
        <v>-1119.3468112275998</v>
      </c>
      <c r="AE12" s="25">
        <f>-Затраты!AF$36</f>
        <v>-1119.3468112275998</v>
      </c>
      <c r="AF12" s="25">
        <f>-Затраты!AG$36</f>
        <v>-1119.3468112275998</v>
      </c>
      <c r="AG12" s="25">
        <f>-Затраты!AH$36</f>
        <v>-1119.3468112275998</v>
      </c>
      <c r="AH12" s="25">
        <f>-Затраты!AI$36</f>
        <v>-1119.3468112275998</v>
      </c>
      <c r="AI12" s="25">
        <f>-Затраты!AJ$36</f>
        <v>-1119.3468112275998</v>
      </c>
      <c r="AJ12" s="25">
        <f>-Затраты!AK$36</f>
        <v>-1119.3468112275998</v>
      </c>
      <c r="AK12" s="25">
        <f>-Затраты!AL$36</f>
        <v>-1119.3468112275998</v>
      </c>
      <c r="AL12" s="25">
        <f>-Затраты!AM$36</f>
        <v>-1119.3468112275998</v>
      </c>
      <c r="AM12" s="25">
        <f>-Затраты!AN$36</f>
        <v>-1119.3468112275998</v>
      </c>
      <c r="AN12" s="25">
        <f>-Затраты!AO$36</f>
        <v>-1119.3468112275998</v>
      </c>
      <c r="AO12" s="25">
        <f>-Затраты!AP$36</f>
        <v>-1119.3468112275998</v>
      </c>
      <c r="AP12" s="25">
        <f>-Затраты!AQ$36</f>
        <v>-1156.9017280644284</v>
      </c>
      <c r="AQ12" s="25">
        <f>-Затраты!AR$36</f>
        <v>-1156.9017280644284</v>
      </c>
      <c r="AR12" s="25">
        <f>-Затраты!AS$36</f>
        <v>-1156.9017280644284</v>
      </c>
      <c r="AS12" s="25">
        <f>-Затраты!AT$36</f>
        <v>-1156.9017280644284</v>
      </c>
      <c r="AT12" s="25">
        <f>-Затраты!AU$36</f>
        <v>-1156.9017280644284</v>
      </c>
      <c r="AU12" s="25">
        <f>-Затраты!AV$36</f>
        <v>-1156.9017280644284</v>
      </c>
      <c r="AV12" s="25">
        <f>-Затраты!AW$36</f>
        <v>-1156.9017280644284</v>
      </c>
      <c r="AW12" s="25">
        <f>-Затраты!AX$36</f>
        <v>-1156.9017280644284</v>
      </c>
      <c r="AX12" s="25">
        <f>-Затраты!AY$36</f>
        <v>-1156.9017280644284</v>
      </c>
      <c r="AY12" s="25">
        <f>-Затраты!AZ$36</f>
        <v>-1156.9017280644284</v>
      </c>
      <c r="AZ12" s="25">
        <f>-Затраты!BA$36</f>
        <v>-1156.9017280644284</v>
      </c>
      <c r="BA12" s="25">
        <f>-Затраты!BB$36</f>
        <v>-1156.9017280644284</v>
      </c>
      <c r="BB12" s="25">
        <f>-Затраты!BC$36</f>
        <v>-1195.7820180313608</v>
      </c>
      <c r="BC12" s="25">
        <f>-Затраты!BD$36</f>
        <v>-1195.7820180313608</v>
      </c>
      <c r="BD12" s="25">
        <f>-Затраты!BE$36</f>
        <v>-1195.7820180313608</v>
      </c>
      <c r="BE12" s="25">
        <f>-Затраты!BF$36</f>
        <v>-1195.7820180313608</v>
      </c>
      <c r="BF12" s="25">
        <f>-Затраты!BG$36</f>
        <v>-1195.7820180313608</v>
      </c>
      <c r="BG12" s="25">
        <f>-Затраты!BH$36</f>
        <v>-1195.7820180313608</v>
      </c>
      <c r="BH12" s="25">
        <f>-Затраты!BI$36</f>
        <v>-1195.7820180313608</v>
      </c>
      <c r="BI12" s="25">
        <f>-Затраты!BJ$36</f>
        <v>-1195.7820180313608</v>
      </c>
      <c r="BK12" s="25">
        <f t="shared" si="17"/>
        <v>-1014.1654666666668</v>
      </c>
      <c r="BL12" s="25">
        <f t="shared" si="17"/>
        <v>-12576.285167999997</v>
      </c>
      <c r="BM12" s="25">
        <f t="shared" si="17"/>
        <v>-12996.833723039999</v>
      </c>
      <c r="BN12" s="25">
        <f t="shared" si="17"/>
        <v>-13432.1617347312</v>
      </c>
      <c r="BO12" s="25">
        <f t="shared" si="17"/>
        <v>-13882.820736773145</v>
      </c>
      <c r="BP12" s="25">
        <f t="shared" si="17"/>
        <v>-9566.2561442508868</v>
      </c>
      <c r="BR12" s="61">
        <f t="shared" si="18"/>
        <v>-63468.522973461899</v>
      </c>
    </row>
    <row r="13" spans="1:120">
      <c r="A13" s="27" t="s">
        <v>32</v>
      </c>
      <c r="B13" s="25">
        <f>-Затраты!C$51</f>
        <v>-1695.3078999999998</v>
      </c>
      <c r="C13" s="25">
        <f>-Затраты!D$51</f>
        <v>-1695.3078999999998</v>
      </c>
      <c r="D13" s="25">
        <f>-Затраты!E$51</f>
        <v>-1695.3078999999998</v>
      </c>
      <c r="E13" s="25">
        <f>-Затраты!F$51</f>
        <v>-1728.3537333333331</v>
      </c>
      <c r="F13" s="25">
        <f>-Затраты!G$51</f>
        <v>-1780.8652620000003</v>
      </c>
      <c r="G13" s="25">
        <f>-Затраты!H$51</f>
        <v>-1780.8652620000003</v>
      </c>
      <c r="H13" s="25">
        <f>-Затраты!I$51</f>
        <v>-1780.8652620000003</v>
      </c>
      <c r="I13" s="25">
        <f>-Затраты!J$51</f>
        <v>-1780.8652620000003</v>
      </c>
      <c r="J13" s="25">
        <f>-Затраты!K$51</f>
        <v>-1780.8652620000003</v>
      </c>
      <c r="K13" s="25">
        <f>-Затраты!L$51</f>
        <v>-1780.8652620000003</v>
      </c>
      <c r="L13" s="25">
        <f>-Затраты!M$51</f>
        <v>-1780.8652620000003</v>
      </c>
      <c r="M13" s="25">
        <f>-Затраты!N$51</f>
        <v>-1780.8652620000003</v>
      </c>
      <c r="N13" s="25">
        <f>-Затраты!O$51</f>
        <v>-1780.8652620000003</v>
      </c>
      <c r="O13" s="25">
        <f>-Затраты!P$51</f>
        <v>-1780.8652620000003</v>
      </c>
      <c r="P13" s="25">
        <f>-Затраты!Q$51</f>
        <v>-1780.8652620000003</v>
      </c>
      <c r="Q13" s="25">
        <f>-Затраты!R$51</f>
        <v>-1780.8652620000003</v>
      </c>
      <c r="R13" s="25">
        <f>-Затраты!S$51</f>
        <v>-1834.98518236</v>
      </c>
      <c r="S13" s="25">
        <f>-Затраты!T$51</f>
        <v>-1834.98518236</v>
      </c>
      <c r="T13" s="25">
        <f>-Затраты!U$51</f>
        <v>-1834.98518236</v>
      </c>
      <c r="U13" s="25">
        <f>-Затраты!V$51</f>
        <v>-1834.98518236</v>
      </c>
      <c r="V13" s="25">
        <f>-Затраты!W$51</f>
        <v>-1834.98518236</v>
      </c>
      <c r="W13" s="25">
        <f>-Затраты!X$51</f>
        <v>-1834.98518236</v>
      </c>
      <c r="X13" s="25">
        <f>-Затраты!Y$51</f>
        <v>-1834.98518236</v>
      </c>
      <c r="Y13" s="25">
        <f>-Затраты!Z$51</f>
        <v>-1834.98518236</v>
      </c>
      <c r="Z13" s="25">
        <f>-Затраты!AA$51</f>
        <v>-1834.98518236</v>
      </c>
      <c r="AA13" s="25">
        <f>-Затраты!AB$51</f>
        <v>-1834.98518236</v>
      </c>
      <c r="AB13" s="25">
        <f>-Затраты!AC$51</f>
        <v>-1834.98518236</v>
      </c>
      <c r="AC13" s="25">
        <f>-Затраты!AD$51</f>
        <v>-1834.98518236</v>
      </c>
      <c r="AD13" s="25">
        <f>-Затраты!AE$51</f>
        <v>-1890.7633984557997</v>
      </c>
      <c r="AE13" s="25">
        <f>-Затраты!AF$51</f>
        <v>-1890.7633984557997</v>
      </c>
      <c r="AF13" s="25">
        <f>-Затраты!AG$51</f>
        <v>-1890.7633984557997</v>
      </c>
      <c r="AG13" s="25">
        <f>-Затраты!AH$51</f>
        <v>-1890.7633984557997</v>
      </c>
      <c r="AH13" s="25">
        <f>-Затраты!AI$51</f>
        <v>-1890.7633984557997</v>
      </c>
      <c r="AI13" s="25">
        <f>-Затраты!AJ$51</f>
        <v>-1890.7633984557997</v>
      </c>
      <c r="AJ13" s="25">
        <f>-Затраты!AK$51</f>
        <v>-1890.7633984557997</v>
      </c>
      <c r="AK13" s="25">
        <f>-Затраты!AL$51</f>
        <v>-1890.7633984557997</v>
      </c>
      <c r="AL13" s="25">
        <f>-Затраты!AM$51</f>
        <v>-1890.7633984557997</v>
      </c>
      <c r="AM13" s="25">
        <f>-Затраты!AN$51</f>
        <v>-1890.7633984557997</v>
      </c>
      <c r="AN13" s="25">
        <f>-Затраты!AO$51</f>
        <v>-1890.7633984557997</v>
      </c>
      <c r="AO13" s="25">
        <f>-Затраты!AP$51</f>
        <v>-1890.7633984557997</v>
      </c>
      <c r="AP13" s="25">
        <f>-Затраты!AQ$51</f>
        <v>-1948.2513940657241</v>
      </c>
      <c r="AQ13" s="25">
        <f>-Затраты!AR$51</f>
        <v>-1948.2513940657241</v>
      </c>
      <c r="AR13" s="25">
        <f>-Затраты!AS$51</f>
        <v>-1948.2513940657241</v>
      </c>
      <c r="AS13" s="25">
        <f>-Затраты!AT$51</f>
        <v>-1948.2513940657241</v>
      </c>
      <c r="AT13" s="25">
        <f>-Затраты!AU$51</f>
        <v>-1948.2513940657241</v>
      </c>
      <c r="AU13" s="25">
        <f>-Затраты!AV$51</f>
        <v>-1948.2513940657241</v>
      </c>
      <c r="AV13" s="25">
        <f>-Затраты!AW$51</f>
        <v>-1948.2513940657241</v>
      </c>
      <c r="AW13" s="25">
        <f>-Затраты!AX$51</f>
        <v>-1948.2513940657241</v>
      </c>
      <c r="AX13" s="25">
        <f>-Затраты!AY$51</f>
        <v>-1948.2513940657241</v>
      </c>
      <c r="AY13" s="25">
        <f>-Затраты!AZ$51</f>
        <v>-1948.2513940657241</v>
      </c>
      <c r="AZ13" s="25">
        <f>-Затраты!BA$51</f>
        <v>-1948.2513940657241</v>
      </c>
      <c r="BA13" s="25">
        <f>-Затраты!BB$51</f>
        <v>-1948.2513940657241</v>
      </c>
      <c r="BB13" s="25">
        <f>-Затраты!BC$51</f>
        <v>-2007.5022842267583</v>
      </c>
      <c r="BC13" s="25">
        <f>-Затраты!BD$51</f>
        <v>-2007.5022842267583</v>
      </c>
      <c r="BD13" s="25">
        <f>-Затраты!BE$51</f>
        <v>-2007.5022842267583</v>
      </c>
      <c r="BE13" s="25">
        <f>-Затраты!BF$51</f>
        <v>-2007.5022842267583</v>
      </c>
      <c r="BF13" s="25">
        <f>-Затраты!BG$51</f>
        <v>-2007.5022842267583</v>
      </c>
      <c r="BG13" s="25">
        <f>-Затраты!BH$51</f>
        <v>-2007.5022842267583</v>
      </c>
      <c r="BH13" s="25">
        <f>-Затраты!BI$51</f>
        <v>-2007.5022842267583</v>
      </c>
      <c r="BI13" s="25">
        <f>-Затраты!BJ$51</f>
        <v>-2007.5022842267583</v>
      </c>
      <c r="BK13" s="25">
        <f t="shared" si="17"/>
        <v>-6814.2774333333327</v>
      </c>
      <c r="BL13" s="25">
        <f t="shared" si="17"/>
        <v>-21370.383143999996</v>
      </c>
      <c r="BM13" s="25">
        <f t="shared" si="17"/>
        <v>-22019.822188319999</v>
      </c>
      <c r="BN13" s="25">
        <f t="shared" si="17"/>
        <v>-22689.160781469589</v>
      </c>
      <c r="BO13" s="25">
        <f t="shared" si="17"/>
        <v>-23379.016728788687</v>
      </c>
      <c r="BP13" s="25">
        <f t="shared" si="17"/>
        <v>-16060.018273814068</v>
      </c>
      <c r="BR13" s="61">
        <f t="shared" si="18"/>
        <v>-112332.67854972568</v>
      </c>
    </row>
    <row r="14" spans="1:120">
      <c r="A14" s="66" t="s">
        <v>146</v>
      </c>
      <c r="B14" s="25">
        <f>SUM(B11:B13)</f>
        <v>-1695.3078999999998</v>
      </c>
      <c r="C14" s="25">
        <f t="shared" ref="C14:BI14" si="20">SUM(C11:C13)</f>
        <v>-1695.3078999999998</v>
      </c>
      <c r="D14" s="25">
        <f t="shared" si="20"/>
        <v>-30621.141233333328</v>
      </c>
      <c r="E14" s="25">
        <f t="shared" si="20"/>
        <v>-21964.433621990724</v>
      </c>
      <c r="F14" s="25">
        <f t="shared" si="20"/>
        <v>-2404.9500809907436</v>
      </c>
      <c r="G14" s="25">
        <f t="shared" si="20"/>
        <v>18004.424919009285</v>
      </c>
      <c r="H14" s="25">
        <f t="shared" si="20"/>
        <v>38413.799919009231</v>
      </c>
      <c r="I14" s="25">
        <f t="shared" si="20"/>
        <v>89195.299919009252</v>
      </c>
      <c r="J14" s="25">
        <f t="shared" si="20"/>
        <v>89195.299919009252</v>
      </c>
      <c r="K14" s="25">
        <f t="shared" si="20"/>
        <v>89195.299919009252</v>
      </c>
      <c r="L14" s="25">
        <f t="shared" si="20"/>
        <v>89195.299919009252</v>
      </c>
      <c r="M14" s="25">
        <f t="shared" si="20"/>
        <v>89195.299919009252</v>
      </c>
      <c r="N14" s="25">
        <f t="shared" si="20"/>
        <v>89195.299919009252</v>
      </c>
      <c r="O14" s="25">
        <f t="shared" si="20"/>
        <v>89195.299919009252</v>
      </c>
      <c r="P14" s="25">
        <f t="shared" si="20"/>
        <v>89195.299919009252</v>
      </c>
      <c r="Q14" s="25">
        <f t="shared" si="20"/>
        <v>89195.299919009252</v>
      </c>
      <c r="R14" s="25">
        <f t="shared" si="20"/>
        <v>93909.653783739297</v>
      </c>
      <c r="S14" s="25">
        <f t="shared" si="20"/>
        <v>93909.653783739297</v>
      </c>
      <c r="T14" s="25">
        <f t="shared" si="20"/>
        <v>93909.653783739297</v>
      </c>
      <c r="U14" s="25">
        <f t="shared" si="20"/>
        <v>93909.653783739297</v>
      </c>
      <c r="V14" s="25">
        <f t="shared" si="20"/>
        <v>93909.653783739297</v>
      </c>
      <c r="W14" s="25">
        <f t="shared" si="20"/>
        <v>93909.653783739297</v>
      </c>
      <c r="X14" s="25">
        <f t="shared" si="20"/>
        <v>93909.653783739297</v>
      </c>
      <c r="Y14" s="25">
        <f t="shared" si="20"/>
        <v>93909.653783739297</v>
      </c>
      <c r="Z14" s="25">
        <f t="shared" si="20"/>
        <v>93909.653783739297</v>
      </c>
      <c r="AA14" s="25">
        <f t="shared" si="20"/>
        <v>93909.653783739297</v>
      </c>
      <c r="AB14" s="25">
        <f t="shared" si="20"/>
        <v>93909.653783739297</v>
      </c>
      <c r="AC14" s="25">
        <f t="shared" si="20"/>
        <v>93909.653783739297</v>
      </c>
      <c r="AD14" s="25">
        <f t="shared" si="20"/>
        <v>98866.171747786153</v>
      </c>
      <c r="AE14" s="25">
        <f t="shared" si="20"/>
        <v>98866.171747786153</v>
      </c>
      <c r="AF14" s="25">
        <f t="shared" si="20"/>
        <v>98866.171747786153</v>
      </c>
      <c r="AG14" s="25">
        <f t="shared" si="20"/>
        <v>98866.171747786153</v>
      </c>
      <c r="AH14" s="25">
        <f t="shared" si="20"/>
        <v>98866.171747786153</v>
      </c>
      <c r="AI14" s="25">
        <f t="shared" si="20"/>
        <v>98866.171747786153</v>
      </c>
      <c r="AJ14" s="25">
        <f t="shared" si="20"/>
        <v>98866.171747786153</v>
      </c>
      <c r="AK14" s="25">
        <f t="shared" si="20"/>
        <v>98866.171747786153</v>
      </c>
      <c r="AL14" s="25">
        <f t="shared" si="20"/>
        <v>98866.171747786153</v>
      </c>
      <c r="AM14" s="25">
        <f t="shared" si="20"/>
        <v>98866.171747786153</v>
      </c>
      <c r="AN14" s="25">
        <f t="shared" si="20"/>
        <v>98866.171747786153</v>
      </c>
      <c r="AO14" s="25">
        <f t="shared" si="20"/>
        <v>98866.171747786153</v>
      </c>
      <c r="AP14" s="25">
        <f t="shared" si="20"/>
        <v>104077.15540829829</v>
      </c>
      <c r="AQ14" s="25">
        <f t="shared" si="20"/>
        <v>104077.15540829829</v>
      </c>
      <c r="AR14" s="25">
        <f t="shared" si="20"/>
        <v>104077.15540829829</v>
      </c>
      <c r="AS14" s="25">
        <f t="shared" si="20"/>
        <v>104077.15540829829</v>
      </c>
      <c r="AT14" s="25">
        <f t="shared" si="20"/>
        <v>104077.15540829829</v>
      </c>
      <c r="AU14" s="25">
        <f t="shared" si="20"/>
        <v>104077.15540829829</v>
      </c>
      <c r="AV14" s="25">
        <f t="shared" si="20"/>
        <v>104077.15540829829</v>
      </c>
      <c r="AW14" s="25">
        <f t="shared" si="20"/>
        <v>104077.15540829829</v>
      </c>
      <c r="AX14" s="25">
        <f t="shared" si="20"/>
        <v>104077.15540829829</v>
      </c>
      <c r="AY14" s="25">
        <f t="shared" si="20"/>
        <v>104077.15540829829</v>
      </c>
      <c r="AZ14" s="25">
        <f t="shared" si="20"/>
        <v>104077.15540829829</v>
      </c>
      <c r="BA14" s="25">
        <f t="shared" si="20"/>
        <v>104077.15540829829</v>
      </c>
      <c r="BB14" s="25">
        <f t="shared" si="20"/>
        <v>109555.52724404661</v>
      </c>
      <c r="BC14" s="25">
        <f t="shared" si="20"/>
        <v>109555.52724404661</v>
      </c>
      <c r="BD14" s="25">
        <f t="shared" si="20"/>
        <v>109555.52724404661</v>
      </c>
      <c r="BE14" s="25">
        <f t="shared" si="20"/>
        <v>109555.52724404661</v>
      </c>
      <c r="BF14" s="25">
        <f t="shared" si="20"/>
        <v>109555.52724404661</v>
      </c>
      <c r="BG14" s="25">
        <f t="shared" si="20"/>
        <v>109555.52724404661</v>
      </c>
      <c r="BH14" s="25">
        <f t="shared" si="20"/>
        <v>109555.52724404661</v>
      </c>
      <c r="BI14" s="25">
        <f t="shared" si="20"/>
        <v>294143.06606045301</v>
      </c>
      <c r="BK14" s="25">
        <f t="shared" si="17"/>
        <v>-55976.190655324055</v>
      </c>
      <c r="BL14" s="25">
        <f t="shared" si="17"/>
        <v>856770.97402811097</v>
      </c>
      <c r="BM14" s="25">
        <f t="shared" si="17"/>
        <v>1126915.8454048715</v>
      </c>
      <c r="BN14" s="25">
        <f t="shared" si="17"/>
        <v>1186394.0609734338</v>
      </c>
      <c r="BO14" s="25">
        <f t="shared" si="17"/>
        <v>1248925.8648995794</v>
      </c>
      <c r="BP14" s="25">
        <f t="shared" si="17"/>
        <v>1061031.7567687791</v>
      </c>
      <c r="BR14" s="61">
        <f t="shared" si="18"/>
        <v>5424062.3114194507</v>
      </c>
    </row>
    <row r="15" spans="1:120">
      <c r="A15" s="67" t="s">
        <v>137</v>
      </c>
      <c r="B15" s="65" t="str">
        <f>IFERROR(IF(B14/B9&lt;0,"н/д",IF(ISERR(B14/B9),0,B14/B9)),"н/д")</f>
        <v>н/д</v>
      </c>
      <c r="C15" s="65" t="str">
        <f t="shared" ref="C15:BI15" si="21">IFERROR(IF(C14/C9&lt;0,"н/д",IF(ISERR(C14/C9),0,C14/C9)),"н/д")</f>
        <v>н/д</v>
      </c>
      <c r="D15" s="65" t="str">
        <f t="shared" si="21"/>
        <v>н/д</v>
      </c>
      <c r="E15" s="65" t="str">
        <f t="shared" si="21"/>
        <v>н/д</v>
      </c>
      <c r="F15" s="65" t="str">
        <f t="shared" si="21"/>
        <v>н/д</v>
      </c>
      <c r="G15" s="65">
        <f t="shared" si="21"/>
        <v>0.11818230995545807</v>
      </c>
      <c r="H15" s="65">
        <f t="shared" si="21"/>
        <v>0.18911316089033028</v>
      </c>
      <c r="I15" s="65">
        <f t="shared" si="21"/>
        <v>0.35129052871226429</v>
      </c>
      <c r="J15" s="65">
        <f t="shared" si="21"/>
        <v>0.35129052871226429</v>
      </c>
      <c r="K15" s="65">
        <f t="shared" si="21"/>
        <v>0.35129052871226429</v>
      </c>
      <c r="L15" s="65">
        <f t="shared" si="21"/>
        <v>0.35129052871226429</v>
      </c>
      <c r="M15" s="65">
        <f t="shared" si="21"/>
        <v>0.35129052871226429</v>
      </c>
      <c r="N15" s="65">
        <f t="shared" si="21"/>
        <v>0.35129052871226429</v>
      </c>
      <c r="O15" s="65">
        <f t="shared" si="21"/>
        <v>0.35129052871226429</v>
      </c>
      <c r="P15" s="65">
        <f t="shared" si="21"/>
        <v>0.35129052871226429</v>
      </c>
      <c r="Q15" s="65">
        <f t="shared" si="21"/>
        <v>0.35129052871226429</v>
      </c>
      <c r="R15" s="65">
        <f t="shared" si="21"/>
        <v>0.35224546540895058</v>
      </c>
      <c r="S15" s="65">
        <f t="shared" si="21"/>
        <v>0.35224546540895058</v>
      </c>
      <c r="T15" s="65">
        <f t="shared" si="21"/>
        <v>0.35224546540895058</v>
      </c>
      <c r="U15" s="65">
        <f t="shared" si="21"/>
        <v>0.35224546540895058</v>
      </c>
      <c r="V15" s="65">
        <f t="shared" si="21"/>
        <v>0.35224546540895058</v>
      </c>
      <c r="W15" s="65">
        <f t="shared" si="21"/>
        <v>0.35224546540895058</v>
      </c>
      <c r="X15" s="65">
        <f t="shared" si="21"/>
        <v>0.35224546540895058</v>
      </c>
      <c r="Y15" s="65">
        <f t="shared" si="21"/>
        <v>0.35224546540895058</v>
      </c>
      <c r="Z15" s="65">
        <f t="shared" si="21"/>
        <v>0.35224546540895058</v>
      </c>
      <c r="AA15" s="65">
        <f t="shared" si="21"/>
        <v>0.35224546540895058</v>
      </c>
      <c r="AB15" s="65">
        <f t="shared" si="21"/>
        <v>0.35224546540895058</v>
      </c>
      <c r="AC15" s="65">
        <f t="shared" si="21"/>
        <v>0.35224546540895058</v>
      </c>
      <c r="AD15" s="65">
        <f t="shared" si="21"/>
        <v>0.35317795731728463</v>
      </c>
      <c r="AE15" s="65">
        <f t="shared" si="21"/>
        <v>0.35317795731728463</v>
      </c>
      <c r="AF15" s="65">
        <f t="shared" si="21"/>
        <v>0.35317795731728463</v>
      </c>
      <c r="AG15" s="65">
        <f t="shared" si="21"/>
        <v>0.35317795731728463</v>
      </c>
      <c r="AH15" s="65">
        <f t="shared" si="21"/>
        <v>0.35317795731728463</v>
      </c>
      <c r="AI15" s="65">
        <f t="shared" si="21"/>
        <v>0.35317795731728463</v>
      </c>
      <c r="AJ15" s="65">
        <f t="shared" si="21"/>
        <v>0.35317795731728463</v>
      </c>
      <c r="AK15" s="65">
        <f t="shared" si="21"/>
        <v>0.35317795731728463</v>
      </c>
      <c r="AL15" s="65">
        <f t="shared" si="21"/>
        <v>0.35317795731728463</v>
      </c>
      <c r="AM15" s="65">
        <f t="shared" si="21"/>
        <v>0.35317795731728463</v>
      </c>
      <c r="AN15" s="65">
        <f t="shared" si="21"/>
        <v>0.35317795731728463</v>
      </c>
      <c r="AO15" s="65">
        <f t="shared" si="21"/>
        <v>0.35317795731728463</v>
      </c>
      <c r="AP15" s="65">
        <f t="shared" si="21"/>
        <v>0.35408863460075651</v>
      </c>
      <c r="AQ15" s="65">
        <f t="shared" si="21"/>
        <v>0.35408863460075651</v>
      </c>
      <c r="AR15" s="65">
        <f t="shared" si="21"/>
        <v>0.35408863460075651</v>
      </c>
      <c r="AS15" s="65">
        <f t="shared" si="21"/>
        <v>0.35408863460075651</v>
      </c>
      <c r="AT15" s="65">
        <f t="shared" si="21"/>
        <v>0.35408863460075651</v>
      </c>
      <c r="AU15" s="65">
        <f t="shared" si="21"/>
        <v>0.35408863460075651</v>
      </c>
      <c r="AV15" s="65">
        <f t="shared" si="21"/>
        <v>0.35408863460075651</v>
      </c>
      <c r="AW15" s="65">
        <f t="shared" si="21"/>
        <v>0.35408863460075651</v>
      </c>
      <c r="AX15" s="65">
        <f t="shared" si="21"/>
        <v>0.35408863460075651</v>
      </c>
      <c r="AY15" s="65">
        <f t="shared" si="21"/>
        <v>0.35408863460075651</v>
      </c>
      <c r="AZ15" s="65">
        <f t="shared" si="21"/>
        <v>0.35408863460075651</v>
      </c>
      <c r="BA15" s="65">
        <f t="shared" si="21"/>
        <v>0.35408863460075651</v>
      </c>
      <c r="BB15" s="65">
        <f t="shared" si="21"/>
        <v>0.35497810577004046</v>
      </c>
      <c r="BC15" s="65">
        <f t="shared" si="21"/>
        <v>0.35497810577004046</v>
      </c>
      <c r="BD15" s="65">
        <f t="shared" si="21"/>
        <v>0.35497810577004046</v>
      </c>
      <c r="BE15" s="65">
        <f t="shared" si="21"/>
        <v>0.35497810577004046</v>
      </c>
      <c r="BF15" s="65">
        <f t="shared" si="21"/>
        <v>0.35497810577004046</v>
      </c>
      <c r="BG15" s="65">
        <f t="shared" si="21"/>
        <v>0.35497810577004046</v>
      </c>
      <c r="BH15" s="65">
        <f t="shared" si="21"/>
        <v>0.35497810577004046</v>
      </c>
      <c r="BI15" s="65">
        <f t="shared" si="21"/>
        <v>0.95307239207509264</v>
      </c>
      <c r="BK15" s="65">
        <f>IF(ISERR(BK14/BK9),0,BK14/BK9)</f>
        <v>-1.1574096903023789</v>
      </c>
      <c r="BL15" s="65">
        <f>IF(ISERR(BL14/BL9),0,BL14/BL9)</f>
        <v>0.31243915891946322</v>
      </c>
      <c r="BM15" s="65">
        <f t="shared" ref="BM15:BN15" si="22">IF(ISERR(BM14/BM9),0,BM14/BM9)</f>
        <v>0.35224546540895058</v>
      </c>
      <c r="BN15" s="65">
        <f t="shared" si="22"/>
        <v>0.35317795731728469</v>
      </c>
      <c r="BO15" s="65">
        <f t="shared" ref="BO15:BP15" si="23">IF(ISERR(BO14/BO9),0,BO14/BO9)</f>
        <v>0.3540886346007564</v>
      </c>
      <c r="BP15" s="65">
        <f t="shared" si="23"/>
        <v>0.42973989155817199</v>
      </c>
      <c r="BR15" s="63">
        <f>IF(ISERR(BR14/BR9),0,BR14/BR9)</f>
        <v>0.35347055347246953</v>
      </c>
    </row>
    <row r="16" spans="1:120">
      <c r="A16" s="266" t="s">
        <v>356</v>
      </c>
      <c r="B16" s="25">
        <f>Кредиты!C20</f>
        <v>-3125.0000000000005</v>
      </c>
      <c r="C16" s="25">
        <f>Кредиты!D20</f>
        <v>-3098.3812811151479</v>
      </c>
      <c r="D16" s="25">
        <f>Кредиты!E20</f>
        <v>-3071.2080055868601</v>
      </c>
      <c r="E16" s="25">
        <f>Кредиты!F20</f>
        <v>-3043.4686201517338</v>
      </c>
      <c r="F16" s="25">
        <f>Кредиты!G20</f>
        <v>-3015.1513308533749</v>
      </c>
      <c r="G16" s="25">
        <f>Кредиты!H20</f>
        <v>-2986.2440980279675</v>
      </c>
      <c r="H16" s="25">
        <f>Кредиты!I20</f>
        <v>-2956.7346311853639</v>
      </c>
      <c r="I16" s="25">
        <f>Кредиты!J20</f>
        <v>-2926.6103837835394</v>
      </c>
      <c r="J16" s="25">
        <f>Кредиты!K20</f>
        <v>-2895.8585478941768</v>
      </c>
      <c r="K16" s="25">
        <f>Кредиты!L20</f>
        <v>-2864.4660487571191</v>
      </c>
      <c r="L16" s="25">
        <f>Кредиты!M20</f>
        <v>-2832.4195392213728</v>
      </c>
      <c r="M16" s="25">
        <f>Кредиты!N20</f>
        <v>-2799.7053940702981</v>
      </c>
      <c r="N16" s="25">
        <f>Кредиты!O20</f>
        <v>-2766.3097042285772</v>
      </c>
      <c r="O16" s="25">
        <f>Кредиты!P20</f>
        <v>-2732.2182708484861</v>
      </c>
      <c r="P16" s="25">
        <f>Кредиты!Q20</f>
        <v>-2697.4165992729763</v>
      </c>
      <c r="Q16" s="25">
        <f>Кредиты!R20</f>
        <v>-2661.8898928729773</v>
      </c>
      <c r="R16" s="25">
        <f>Кредиты!S20</f>
        <v>-2625.6230467563109</v>
      </c>
      <c r="S16" s="25">
        <f>Кредиты!T20</f>
        <v>-2588.600641345548</v>
      </c>
      <c r="T16" s="25">
        <f>Кредиты!U20</f>
        <v>-2550.806935822061</v>
      </c>
      <c r="U16" s="25">
        <f>Кредиты!V20</f>
        <v>-2512.2258614335005</v>
      </c>
      <c r="V16" s="25">
        <f>Кредиты!W20</f>
        <v>-2472.8410146618457</v>
      </c>
      <c r="W16" s="25">
        <f>Кредиты!X20</f>
        <v>-2432.6356502491144</v>
      </c>
      <c r="X16" s="25">
        <f>Кредиты!Y20</f>
        <v>-2391.592674077785</v>
      </c>
      <c r="Y16" s="25">
        <f>Кредиты!Z20</f>
        <v>-2349.6946359028857</v>
      </c>
      <c r="Z16" s="25">
        <f>Кредиты!AA20</f>
        <v>-2306.923721932676</v>
      </c>
      <c r="AA16" s="25">
        <f>Кредиты!AB20</f>
        <v>-2263.261747254754</v>
      </c>
      <c r="AB16" s="25">
        <f>Кредиты!AC20</f>
        <v>-2218.6901481043751</v>
      </c>
      <c r="AC16" s="25">
        <f>Кредиты!AD20</f>
        <v>-2173.1899739716964</v>
      </c>
      <c r="AD16" s="25">
        <f>Кредиты!AE20</f>
        <v>-2126.7418795445874</v>
      </c>
      <c r="AE16" s="25">
        <f>Кредиты!AF20</f>
        <v>-2079.3261164835803</v>
      </c>
      <c r="AF16" s="25">
        <f>Кредиты!AG20</f>
        <v>-2030.9225250254681</v>
      </c>
      <c r="AG16" s="25">
        <f>Кредиты!AH20</f>
        <v>-1981.510525411979</v>
      </c>
      <c r="AH16" s="25">
        <f>Кредиты!AI20</f>
        <v>-1931.0691091398762</v>
      </c>
      <c r="AI16" s="25">
        <f>Кредиты!AJ20</f>
        <v>-1879.57683002877</v>
      </c>
      <c r="AJ16" s="25">
        <f>Кредиты!AK20</f>
        <v>-1827.0117951028501</v>
      </c>
      <c r="AK16" s="25">
        <f>Кредиты!AL20</f>
        <v>-1773.35165528264</v>
      </c>
      <c r="AL16" s="25">
        <f>Кредиты!AM20</f>
        <v>-1718.5735958828423</v>
      </c>
      <c r="AM16" s="25">
        <f>Кредиты!AN20</f>
        <v>-1662.6543269122153</v>
      </c>
      <c r="AN16" s="25">
        <f>Кредиты!AO20</f>
        <v>-1605.5700731713669</v>
      </c>
      <c r="AO16" s="25">
        <f>Кредиты!AP20</f>
        <v>-1547.2965641442506</v>
      </c>
      <c r="AP16" s="25">
        <f>Кредиты!AQ20</f>
        <v>-1487.8090236790686</v>
      </c>
      <c r="AQ16" s="25">
        <f>Кредиты!AR20</f>
        <v>-1427.0821594541967</v>
      </c>
      <c r="AR16" s="25">
        <f>Кредиты!AS20</f>
        <v>-1365.09015222464</v>
      </c>
      <c r="AS16" s="25">
        <f>Кредиты!AT20</f>
        <v>-1301.806644844467</v>
      </c>
      <c r="AT16" s="25">
        <f>Кредиты!AU20</f>
        <v>-1237.2047310605403</v>
      </c>
      <c r="AU16" s="25">
        <f>Кредиты!AV20</f>
        <v>-1171.2569440727816</v>
      </c>
      <c r="AV16" s="25">
        <f>Кредиты!AW20</f>
        <v>-1103.9352448561121</v>
      </c>
      <c r="AW16" s="25">
        <f>Кредиты!AX20</f>
        <v>-1035.2110102390943</v>
      </c>
      <c r="AX16" s="25">
        <f>Кредиты!AY20</f>
        <v>-965.05502073422304</v>
      </c>
      <c r="AY16" s="25">
        <f>Кредиты!AZ20</f>
        <v>-893.43744811466604</v>
      </c>
      <c r="AZ16" s="25">
        <f>Кредиты!BA20</f>
        <v>-820.32784273220204</v>
      </c>
      <c r="BA16" s="25">
        <f>Кредиты!BB20</f>
        <v>-745.69512057093652</v>
      </c>
      <c r="BB16" s="25">
        <f>Кредиты!BC20</f>
        <v>-669.50755003131189</v>
      </c>
      <c r="BC16" s="25">
        <f>Кредиты!BD20</f>
        <v>-591.73273843877723</v>
      </c>
      <c r="BD16" s="25">
        <f>Кредиты!BE20</f>
        <v>-512.33761827139915</v>
      </c>
      <c r="BE16" s="25">
        <f>Кредиты!BF20</f>
        <v>-431.28843310053344</v>
      </c>
      <c r="BF16" s="25">
        <f>Кредиты!BG20</f>
        <v>-348.55072323860895</v>
      </c>
      <c r="BG16" s="25">
        <f>Кредиты!BH20</f>
        <v>-264.08931108789329</v>
      </c>
      <c r="BH16" s="25">
        <f>Кредиты!BI20</f>
        <v>-177.86828618403888</v>
      </c>
      <c r="BI16" s="25">
        <f>Кредиты!BJ20</f>
        <v>-89.850989928019771</v>
      </c>
      <c r="BK16" s="25">
        <f t="shared" ref="BK16:BP19" si="24">SUMIF($B$2:$BI$2,BK$2,$B16:$BI16)</f>
        <v>-12338.057906853743</v>
      </c>
      <c r="BL16" s="25">
        <f t="shared" si="24"/>
        <v>-34135.024441016227</v>
      </c>
      <c r="BM16" s="25">
        <f t="shared" si="24"/>
        <v>-28886.086051512553</v>
      </c>
      <c r="BN16" s="25">
        <f t="shared" si="24"/>
        <v>-22163.604996130427</v>
      </c>
      <c r="BO16" s="25">
        <f t="shared" si="24"/>
        <v>-13553.911342582927</v>
      </c>
      <c r="BP16" s="25">
        <f t="shared" si="24"/>
        <v>-3085.2256502805826</v>
      </c>
      <c r="BR16" s="62">
        <f>SUM(BK16:BP16)</f>
        <v>-114161.91038837646</v>
      </c>
    </row>
    <row r="17" spans="1:70">
      <c r="A17" s="66" t="s">
        <v>148</v>
      </c>
      <c r="B17" s="25">
        <f>B14+B16</f>
        <v>-4820.3078999999998</v>
      </c>
      <c r="C17" s="25">
        <f t="shared" ref="C17:BI17" si="25">C14+C16</f>
        <v>-4793.6891811151472</v>
      </c>
      <c r="D17" s="25">
        <f t="shared" si="25"/>
        <v>-33692.349238920186</v>
      </c>
      <c r="E17" s="25">
        <f t="shared" si="25"/>
        <v>-25007.902242142456</v>
      </c>
      <c r="F17" s="25">
        <f t="shared" si="25"/>
        <v>-5420.101411844118</v>
      </c>
      <c r="G17" s="25">
        <f t="shared" si="25"/>
        <v>15018.180820981317</v>
      </c>
      <c r="H17" s="25">
        <f t="shared" si="25"/>
        <v>35457.065287823869</v>
      </c>
      <c r="I17" s="25">
        <f t="shared" si="25"/>
        <v>86268.689535225712</v>
      </c>
      <c r="J17" s="25">
        <f t="shared" si="25"/>
        <v>86299.44137111507</v>
      </c>
      <c r="K17" s="25">
        <f t="shared" si="25"/>
        <v>86330.833870252129</v>
      </c>
      <c r="L17" s="25">
        <f t="shared" si="25"/>
        <v>86362.880379787879</v>
      </c>
      <c r="M17" s="25">
        <f t="shared" si="25"/>
        <v>86395.594524938948</v>
      </c>
      <c r="N17" s="25">
        <f t="shared" si="25"/>
        <v>86428.990214780672</v>
      </c>
      <c r="O17" s="25">
        <f t="shared" si="25"/>
        <v>86463.081648160762</v>
      </c>
      <c r="P17" s="25">
        <f t="shared" si="25"/>
        <v>86497.883319736269</v>
      </c>
      <c r="Q17" s="25">
        <f t="shared" si="25"/>
        <v>86533.410026136276</v>
      </c>
      <c r="R17" s="25">
        <f t="shared" si="25"/>
        <v>91284.030736982982</v>
      </c>
      <c r="S17" s="25">
        <f t="shared" si="25"/>
        <v>91321.05314239375</v>
      </c>
      <c r="T17" s="25">
        <f t="shared" si="25"/>
        <v>91358.84684791723</v>
      </c>
      <c r="U17" s="25">
        <f t="shared" si="25"/>
        <v>91397.427922305797</v>
      </c>
      <c r="V17" s="25">
        <f t="shared" si="25"/>
        <v>91436.812769077456</v>
      </c>
      <c r="W17" s="25">
        <f t="shared" si="25"/>
        <v>91477.018133490186</v>
      </c>
      <c r="X17" s="25">
        <f t="shared" si="25"/>
        <v>91518.061109661518</v>
      </c>
      <c r="Y17" s="25">
        <f t="shared" si="25"/>
        <v>91559.959147836416</v>
      </c>
      <c r="Z17" s="25">
        <f t="shared" si="25"/>
        <v>91602.730061806622</v>
      </c>
      <c r="AA17" s="25">
        <f t="shared" si="25"/>
        <v>91646.39203648454</v>
      </c>
      <c r="AB17" s="25">
        <f t="shared" si="25"/>
        <v>91690.963635634922</v>
      </c>
      <c r="AC17" s="25">
        <f t="shared" si="25"/>
        <v>91736.463809767607</v>
      </c>
      <c r="AD17" s="25">
        <f t="shared" si="25"/>
        <v>96739.429868241568</v>
      </c>
      <c r="AE17" s="25">
        <f t="shared" si="25"/>
        <v>96786.845631302567</v>
      </c>
      <c r="AF17" s="25">
        <f t="shared" si="25"/>
        <v>96835.249222760685</v>
      </c>
      <c r="AG17" s="25">
        <f t="shared" si="25"/>
        <v>96884.661222374169</v>
      </c>
      <c r="AH17" s="25">
        <f t="shared" si="25"/>
        <v>96935.102638646276</v>
      </c>
      <c r="AI17" s="25">
        <f t="shared" si="25"/>
        <v>96986.594917757378</v>
      </c>
      <c r="AJ17" s="25">
        <f t="shared" si="25"/>
        <v>97039.159952683302</v>
      </c>
      <c r="AK17" s="25">
        <f t="shared" si="25"/>
        <v>97092.82009250352</v>
      </c>
      <c r="AL17" s="25">
        <f t="shared" si="25"/>
        <v>97147.598151903308</v>
      </c>
      <c r="AM17" s="25">
        <f t="shared" si="25"/>
        <v>97203.517420873934</v>
      </c>
      <c r="AN17" s="25">
        <f t="shared" si="25"/>
        <v>97260.60167461478</v>
      </c>
      <c r="AO17" s="25">
        <f t="shared" si="25"/>
        <v>97318.875183641896</v>
      </c>
      <c r="AP17" s="25">
        <f t="shared" si="25"/>
        <v>102589.34638461922</v>
      </c>
      <c r="AQ17" s="25">
        <f t="shared" si="25"/>
        <v>102650.0732488441</v>
      </c>
      <c r="AR17" s="25">
        <f t="shared" si="25"/>
        <v>102712.06525607365</v>
      </c>
      <c r="AS17" s="25">
        <f t="shared" si="25"/>
        <v>102775.34876345382</v>
      </c>
      <c r="AT17" s="25">
        <f t="shared" si="25"/>
        <v>102839.95067723775</v>
      </c>
      <c r="AU17" s="25">
        <f t="shared" si="25"/>
        <v>102905.89846422551</v>
      </c>
      <c r="AV17" s="25">
        <f t="shared" si="25"/>
        <v>102973.22016344218</v>
      </c>
      <c r="AW17" s="25">
        <f t="shared" si="25"/>
        <v>103041.94439805919</v>
      </c>
      <c r="AX17" s="25">
        <f t="shared" si="25"/>
        <v>103112.10038756407</v>
      </c>
      <c r="AY17" s="25">
        <f t="shared" si="25"/>
        <v>103183.71796018363</v>
      </c>
      <c r="AZ17" s="25">
        <f t="shared" si="25"/>
        <v>103256.82756556608</v>
      </c>
      <c r="BA17" s="25">
        <f t="shared" si="25"/>
        <v>103331.46028772736</v>
      </c>
      <c r="BB17" s="25">
        <f t="shared" si="25"/>
        <v>108886.0196940153</v>
      </c>
      <c r="BC17" s="25">
        <f t="shared" si="25"/>
        <v>108963.79450560783</v>
      </c>
      <c r="BD17" s="25">
        <f t="shared" si="25"/>
        <v>109043.18962577521</v>
      </c>
      <c r="BE17" s="25">
        <f t="shared" si="25"/>
        <v>109124.23881094607</v>
      </c>
      <c r="BF17" s="25">
        <f t="shared" si="25"/>
        <v>109206.97652080799</v>
      </c>
      <c r="BG17" s="25">
        <f t="shared" si="25"/>
        <v>109291.43793295871</v>
      </c>
      <c r="BH17" s="25">
        <f t="shared" si="25"/>
        <v>109377.65895786257</v>
      </c>
      <c r="BI17" s="25">
        <f t="shared" si="25"/>
        <v>294053.21507052501</v>
      </c>
      <c r="BK17" s="25">
        <f t="shared" si="24"/>
        <v>-68314.248562177789</v>
      </c>
      <c r="BL17" s="25">
        <f t="shared" si="24"/>
        <v>822635.94958709483</v>
      </c>
      <c r="BM17" s="25">
        <f t="shared" si="24"/>
        <v>1098029.759353359</v>
      </c>
      <c r="BN17" s="25">
        <f t="shared" si="24"/>
        <v>1164230.4559773034</v>
      </c>
      <c r="BO17" s="25">
        <f t="shared" si="24"/>
        <v>1235371.9535569965</v>
      </c>
      <c r="BP17" s="25">
        <f t="shared" si="24"/>
        <v>1057946.5311184986</v>
      </c>
      <c r="BR17" s="62">
        <f t="shared" ref="BR17:BR19" si="26">SUM(BK17:BP17)</f>
        <v>5309900.401031075</v>
      </c>
    </row>
    <row r="18" spans="1:70">
      <c r="A18" s="27" t="s">
        <v>95</v>
      </c>
      <c r="B18" s="25">
        <f>-Налоги!D26</f>
        <v>0</v>
      </c>
      <c r="C18" s="25">
        <f>-Налоги!E26</f>
        <v>0</v>
      </c>
      <c r="D18" s="25">
        <f>-Налоги!F26</f>
        <v>0</v>
      </c>
      <c r="E18" s="25">
        <f>-Налоги!G26</f>
        <v>0</v>
      </c>
      <c r="F18" s="25">
        <f>-Налоги!H26</f>
        <v>0</v>
      </c>
      <c r="G18" s="25">
        <f>-Налоги!I26</f>
        <v>0</v>
      </c>
      <c r="H18" s="25">
        <f>-Налоги!J26</f>
        <v>0</v>
      </c>
      <c r="I18" s="25">
        <f>-Налоги!K26</f>
        <v>-15752.396417502247</v>
      </c>
      <c r="J18" s="25">
        <f>-Налоги!L26</f>
        <v>-21574.860342778768</v>
      </c>
      <c r="K18" s="25">
        <f>-Налоги!M26</f>
        <v>-21582.708467563032</v>
      </c>
      <c r="L18" s="25">
        <f>-Налоги!N26</f>
        <v>-21590.72009494697</v>
      </c>
      <c r="M18" s="25">
        <f>-Налоги!O26</f>
        <v>-21598.898631234741</v>
      </c>
      <c r="N18" s="25">
        <f>-Налоги!P26</f>
        <v>-21607.247553695168</v>
      </c>
      <c r="O18" s="25">
        <f>-Налоги!Q26</f>
        <v>-21615.770412040176</v>
      </c>
      <c r="P18" s="25">
        <f>-Налоги!R26</f>
        <v>-21624.470829934056</v>
      </c>
      <c r="Q18" s="25">
        <f>-Налоги!S26</f>
        <v>-21633.35250653408</v>
      </c>
      <c r="R18" s="25">
        <f>-Налоги!T26</f>
        <v>-22821.007684245746</v>
      </c>
      <c r="S18" s="25">
        <f>-Налоги!U26</f>
        <v>-22830.263285598438</v>
      </c>
      <c r="T18" s="25">
        <f>-Налоги!V26</f>
        <v>-22839.711711979304</v>
      </c>
      <c r="U18" s="25">
        <f>-Налоги!W26</f>
        <v>-22849.356980576442</v>
      </c>
      <c r="V18" s="25">
        <f>-Налоги!X26</f>
        <v>-22859.203192269371</v>
      </c>
      <c r="W18" s="25">
        <f>-Налоги!Y26</f>
        <v>-22869.254533372557</v>
      </c>
      <c r="X18" s="25">
        <f>-Налоги!Z26</f>
        <v>-22879.515277415368</v>
      </c>
      <c r="Y18" s="25">
        <f>-Налоги!AA26</f>
        <v>-22889.989786959108</v>
      </c>
      <c r="Z18" s="25">
        <f>-Налоги!AB26</f>
        <v>-22900.682515451655</v>
      </c>
      <c r="AA18" s="25">
        <f>-Налоги!AC26</f>
        <v>-22911.598009121139</v>
      </c>
      <c r="AB18" s="25">
        <f>-Налоги!AD26</f>
        <v>-22922.740908908745</v>
      </c>
      <c r="AC18" s="25">
        <f>-Налоги!AE26</f>
        <v>-22934.115952441876</v>
      </c>
      <c r="AD18" s="25">
        <f>-Налоги!AF26</f>
        <v>-24184.857467060392</v>
      </c>
      <c r="AE18" s="25">
        <f>-Налоги!AG26</f>
        <v>-24196.711407825642</v>
      </c>
      <c r="AF18" s="25">
        <f>-Налоги!AH26</f>
        <v>-24208.812305690175</v>
      </c>
      <c r="AG18" s="25">
        <f>-Налоги!AI26</f>
        <v>-24221.165305593546</v>
      </c>
      <c r="AH18" s="25">
        <f>-Налоги!AJ26</f>
        <v>-24233.775659661565</v>
      </c>
      <c r="AI18" s="25">
        <f>-Налоги!AK26</f>
        <v>-24246.648729439345</v>
      </c>
      <c r="AJ18" s="25">
        <f>-Налоги!AL26</f>
        <v>-24259.789988170814</v>
      </c>
      <c r="AK18" s="25">
        <f>-Налоги!AM26</f>
        <v>-24273.205023125891</v>
      </c>
      <c r="AL18" s="25">
        <f>-Налоги!AN26</f>
        <v>-24286.899537975842</v>
      </c>
      <c r="AM18" s="25">
        <f>-Налоги!AO26</f>
        <v>-24300.879355218494</v>
      </c>
      <c r="AN18" s="25">
        <f>-Налоги!AP26</f>
        <v>-24315.150418653677</v>
      </c>
      <c r="AO18" s="25">
        <f>-Налоги!AQ26</f>
        <v>-24329.718795910478</v>
      </c>
      <c r="AP18" s="25">
        <f>-Налоги!AR26</f>
        <v>-25647.336596154804</v>
      </c>
      <c r="AQ18" s="25">
        <f>-Налоги!AS26</f>
        <v>-25662.518312211025</v>
      </c>
      <c r="AR18" s="25">
        <f>-Налоги!AT26</f>
        <v>-25678.016314018416</v>
      </c>
      <c r="AS18" s="25">
        <f>-Налоги!AU26</f>
        <v>-25693.837190863458</v>
      </c>
      <c r="AT18" s="25">
        <f>-Налоги!AV26</f>
        <v>-25709.987669309441</v>
      </c>
      <c r="AU18" s="25">
        <f>-Налоги!AW26</f>
        <v>-25726.474616056366</v>
      </c>
      <c r="AV18" s="25">
        <f>-Налоги!AX26</f>
        <v>-25743.305040860549</v>
      </c>
      <c r="AW18" s="25">
        <f>-Налоги!AY26</f>
        <v>-25760.48609951479</v>
      </c>
      <c r="AX18" s="25">
        <f>-Налоги!AZ26</f>
        <v>-25778.025096891011</v>
      </c>
      <c r="AY18" s="25">
        <f>-Налоги!BA26</f>
        <v>-25795.929490045906</v>
      </c>
      <c r="AZ18" s="25">
        <f>-Налоги!BB26</f>
        <v>-25814.206891391514</v>
      </c>
      <c r="BA18" s="25">
        <f>-Налоги!BC26</f>
        <v>-25832.865071931854</v>
      </c>
      <c r="BB18" s="25">
        <f>-Налоги!BD26</f>
        <v>-27221.504923503824</v>
      </c>
      <c r="BC18" s="25">
        <f>-Налоги!BE26</f>
        <v>-27240.948626401958</v>
      </c>
      <c r="BD18" s="25">
        <f>-Налоги!BF26</f>
        <v>-27260.797406443802</v>
      </c>
      <c r="BE18" s="25">
        <f>-Налоги!BG26</f>
        <v>-27281.059702736515</v>
      </c>
      <c r="BF18" s="25">
        <f>-Налоги!BH26</f>
        <v>-27301.744130201987</v>
      </c>
      <c r="BG18" s="25">
        <f>-Налоги!BI26</f>
        <v>-27322.859483239678</v>
      </c>
      <c r="BH18" s="25">
        <f>-Налоги!BJ26</f>
        <v>-27344.414739465632</v>
      </c>
      <c r="BI18" s="25">
        <f>-Налоги!BK26</f>
        <v>-73513.303767631267</v>
      </c>
      <c r="BK18" s="25">
        <f t="shared" si="24"/>
        <v>0</v>
      </c>
      <c r="BL18" s="25">
        <f t="shared" si="24"/>
        <v>-188580.42525622924</v>
      </c>
      <c r="BM18" s="25">
        <f t="shared" si="24"/>
        <v>-274507.43983833975</v>
      </c>
      <c r="BN18" s="25">
        <f t="shared" si="24"/>
        <v>-291057.61399432586</v>
      </c>
      <c r="BO18" s="25">
        <f t="shared" si="24"/>
        <v>-308842.98838924913</v>
      </c>
      <c r="BP18" s="25">
        <f t="shared" si="24"/>
        <v>-264486.63277962466</v>
      </c>
      <c r="BR18" s="62">
        <f t="shared" si="26"/>
        <v>-1327475.1002577688</v>
      </c>
    </row>
    <row r="19" spans="1:70">
      <c r="A19" s="66" t="s">
        <v>149</v>
      </c>
      <c r="B19" s="25">
        <f>SUM(B17:B18)</f>
        <v>-4820.3078999999998</v>
      </c>
      <c r="C19" s="25">
        <f t="shared" ref="C19:BI19" si="27">SUM(C17:C18)</f>
        <v>-4793.6891811151472</v>
      </c>
      <c r="D19" s="25">
        <f t="shared" si="27"/>
        <v>-33692.349238920186</v>
      </c>
      <c r="E19" s="25">
        <f t="shared" si="27"/>
        <v>-25007.902242142456</v>
      </c>
      <c r="F19" s="25">
        <f t="shared" si="27"/>
        <v>-5420.101411844118</v>
      </c>
      <c r="G19" s="25">
        <f t="shared" si="27"/>
        <v>15018.180820981317</v>
      </c>
      <c r="H19" s="25">
        <f t="shared" si="27"/>
        <v>35457.065287823869</v>
      </c>
      <c r="I19" s="25">
        <f t="shared" si="27"/>
        <v>70516.293117723471</v>
      </c>
      <c r="J19" s="25">
        <f t="shared" si="27"/>
        <v>64724.581028336303</v>
      </c>
      <c r="K19" s="25">
        <f t="shared" si="27"/>
        <v>64748.125402689097</v>
      </c>
      <c r="L19" s="25">
        <f t="shared" si="27"/>
        <v>64772.160284840909</v>
      </c>
      <c r="M19" s="25">
        <f t="shared" si="27"/>
        <v>64796.695893704207</v>
      </c>
      <c r="N19" s="25">
        <f t="shared" si="27"/>
        <v>64821.742661085504</v>
      </c>
      <c r="O19" s="25">
        <f t="shared" si="27"/>
        <v>64847.311236120586</v>
      </c>
      <c r="P19" s="25">
        <f t="shared" si="27"/>
        <v>64873.412489802213</v>
      </c>
      <c r="Q19" s="25">
        <f t="shared" si="27"/>
        <v>64900.057519602196</v>
      </c>
      <c r="R19" s="25">
        <f t="shared" si="27"/>
        <v>68463.023052737233</v>
      </c>
      <c r="S19" s="25">
        <f t="shared" si="27"/>
        <v>68490.789856795309</v>
      </c>
      <c r="T19" s="25">
        <f t="shared" si="27"/>
        <v>68519.135135937919</v>
      </c>
      <c r="U19" s="25">
        <f t="shared" si="27"/>
        <v>68548.070941729355</v>
      </c>
      <c r="V19" s="25">
        <f t="shared" si="27"/>
        <v>68577.609576808085</v>
      </c>
      <c r="W19" s="25">
        <f t="shared" si="27"/>
        <v>68607.763600117629</v>
      </c>
      <c r="X19" s="25">
        <f t="shared" si="27"/>
        <v>68638.545832246149</v>
      </c>
      <c r="Y19" s="25">
        <f t="shared" si="27"/>
        <v>68669.969360877309</v>
      </c>
      <c r="Z19" s="25">
        <f t="shared" si="27"/>
        <v>68702.047546354966</v>
      </c>
      <c r="AA19" s="25">
        <f t="shared" si="27"/>
        <v>68734.794027363401</v>
      </c>
      <c r="AB19" s="25">
        <f t="shared" si="27"/>
        <v>68768.222726726177</v>
      </c>
      <c r="AC19" s="25">
        <f t="shared" si="27"/>
        <v>68802.347857325731</v>
      </c>
      <c r="AD19" s="25">
        <f t="shared" si="27"/>
        <v>72554.572401181184</v>
      </c>
      <c r="AE19" s="25">
        <f t="shared" si="27"/>
        <v>72590.134223476925</v>
      </c>
      <c r="AF19" s="25">
        <f t="shared" si="27"/>
        <v>72626.436917070503</v>
      </c>
      <c r="AG19" s="25">
        <f t="shared" si="27"/>
        <v>72663.495916780623</v>
      </c>
      <c r="AH19" s="25">
        <f t="shared" si="27"/>
        <v>72701.326978984711</v>
      </c>
      <c r="AI19" s="25">
        <f t="shared" si="27"/>
        <v>72739.946188318034</v>
      </c>
      <c r="AJ19" s="25">
        <f t="shared" si="27"/>
        <v>72779.369964512487</v>
      </c>
      <c r="AK19" s="25">
        <f t="shared" si="27"/>
        <v>72819.615069377629</v>
      </c>
      <c r="AL19" s="25">
        <f t="shared" si="27"/>
        <v>72860.698613927467</v>
      </c>
      <c r="AM19" s="25">
        <f t="shared" si="27"/>
        <v>72902.638065655439</v>
      </c>
      <c r="AN19" s="25">
        <f t="shared" si="27"/>
        <v>72945.451255961103</v>
      </c>
      <c r="AO19" s="25">
        <f t="shared" si="27"/>
        <v>72989.156387731418</v>
      </c>
      <c r="AP19" s="25">
        <f t="shared" si="27"/>
        <v>76942.009788464406</v>
      </c>
      <c r="AQ19" s="25">
        <f t="shared" si="27"/>
        <v>76987.554936633067</v>
      </c>
      <c r="AR19" s="25">
        <f t="shared" si="27"/>
        <v>77034.048942055233</v>
      </c>
      <c r="AS19" s="25">
        <f t="shared" si="27"/>
        <v>77081.51157259036</v>
      </c>
      <c r="AT19" s="25">
        <f t="shared" si="27"/>
        <v>77129.963007928309</v>
      </c>
      <c r="AU19" s="25">
        <f t="shared" si="27"/>
        <v>77179.423848169143</v>
      </c>
      <c r="AV19" s="25">
        <f t="shared" si="27"/>
        <v>77229.915122581631</v>
      </c>
      <c r="AW19" s="25">
        <f t="shared" si="27"/>
        <v>77281.458298544399</v>
      </c>
      <c r="AX19" s="25">
        <f t="shared" si="27"/>
        <v>77334.075290673063</v>
      </c>
      <c r="AY19" s="25">
        <f t="shared" si="27"/>
        <v>77387.788470137719</v>
      </c>
      <c r="AZ19" s="25">
        <f t="shared" si="27"/>
        <v>77442.62067417457</v>
      </c>
      <c r="BA19" s="25">
        <f t="shared" si="27"/>
        <v>77498.595215795503</v>
      </c>
      <c r="BB19" s="25">
        <f t="shared" si="27"/>
        <v>81664.51477051148</v>
      </c>
      <c r="BC19" s="25">
        <f t="shared" si="27"/>
        <v>81722.845879205881</v>
      </c>
      <c r="BD19" s="25">
        <f t="shared" si="27"/>
        <v>81782.392219331407</v>
      </c>
      <c r="BE19" s="25">
        <f t="shared" si="27"/>
        <v>81843.179108209559</v>
      </c>
      <c r="BF19" s="25">
        <f t="shared" si="27"/>
        <v>81905.232390606005</v>
      </c>
      <c r="BG19" s="25">
        <f t="shared" si="27"/>
        <v>81968.578449719033</v>
      </c>
      <c r="BH19" s="25">
        <f t="shared" si="27"/>
        <v>82033.24421839694</v>
      </c>
      <c r="BI19" s="25">
        <f t="shared" si="27"/>
        <v>220539.91130289374</v>
      </c>
      <c r="BK19" s="25">
        <f t="shared" si="24"/>
        <v>-68314.248562177789</v>
      </c>
      <c r="BL19" s="25">
        <f t="shared" si="24"/>
        <v>634055.52433086559</v>
      </c>
      <c r="BM19" s="25">
        <f t="shared" si="24"/>
        <v>823522.31951501931</v>
      </c>
      <c r="BN19" s="25">
        <f t="shared" si="24"/>
        <v>873172.84198297746</v>
      </c>
      <c r="BO19" s="25">
        <f t="shared" si="24"/>
        <v>926528.96516774758</v>
      </c>
      <c r="BP19" s="25">
        <f t="shared" si="24"/>
        <v>793459.8983388741</v>
      </c>
      <c r="BR19" s="62">
        <f t="shared" si="26"/>
        <v>3982425.3007733058</v>
      </c>
    </row>
    <row r="20" spans="1:70">
      <c r="A20" s="67" t="s">
        <v>33</v>
      </c>
      <c r="B20" s="65" t="str">
        <f t="shared" ref="B20:AG20" si="28">IFERROR(IF(B19/B9&lt;0,"н/д",IF(ISERR(B19/B9),0,B19/B9)),"н/д")</f>
        <v>н/д</v>
      </c>
      <c r="C20" s="65" t="str">
        <f t="shared" si="28"/>
        <v>н/д</v>
      </c>
      <c r="D20" s="65" t="str">
        <f t="shared" si="28"/>
        <v>н/д</v>
      </c>
      <c r="E20" s="65" t="str">
        <f t="shared" si="28"/>
        <v>н/д</v>
      </c>
      <c r="F20" s="65" t="str">
        <f t="shared" si="28"/>
        <v>н/д</v>
      </c>
      <c r="G20" s="65">
        <f t="shared" si="28"/>
        <v>9.8580393916297041E-2</v>
      </c>
      <c r="H20" s="65">
        <f t="shared" si="28"/>
        <v>0.17455700052097647</v>
      </c>
      <c r="I20" s="65">
        <f t="shared" si="28"/>
        <v>0.27772434102073967</v>
      </c>
      <c r="J20" s="65">
        <f t="shared" si="28"/>
        <v>0.25491401801182045</v>
      </c>
      <c r="K20" s="65">
        <f t="shared" si="28"/>
        <v>0.25500674616814822</v>
      </c>
      <c r="L20" s="65">
        <f t="shared" si="28"/>
        <v>0.25510140616106614</v>
      </c>
      <c r="M20" s="65">
        <f t="shared" si="28"/>
        <v>0.25519803823716986</v>
      </c>
      <c r="N20" s="65">
        <f t="shared" si="28"/>
        <v>0.25529668348152573</v>
      </c>
      <c r="O20" s="65">
        <f t="shared" si="28"/>
        <v>0.2553973838351391</v>
      </c>
      <c r="P20" s="65">
        <f t="shared" si="28"/>
        <v>0.25550018211278597</v>
      </c>
      <c r="Q20" s="65">
        <f t="shared" si="28"/>
        <v>0.25560512202121716</v>
      </c>
      <c r="R20" s="65">
        <f t="shared" si="28"/>
        <v>0.25679776728865816</v>
      </c>
      <c r="S20" s="65">
        <f t="shared" si="28"/>
        <v>0.25690191771861159</v>
      </c>
      <c r="T20" s="65">
        <f t="shared" si="28"/>
        <v>0.25700823794918903</v>
      </c>
      <c r="U20" s="65">
        <f t="shared" si="28"/>
        <v>0.25711677318457027</v>
      </c>
      <c r="V20" s="65">
        <f t="shared" si="28"/>
        <v>0.25722756957068849</v>
      </c>
      <c r="W20" s="65">
        <f t="shared" si="28"/>
        <v>0.25734067421485091</v>
      </c>
      <c r="X20" s="65">
        <f t="shared" si="28"/>
        <v>0.25745613520576677</v>
      </c>
      <c r="Y20" s="65">
        <f t="shared" si="28"/>
        <v>0.25757400163399324</v>
      </c>
      <c r="Z20" s="65">
        <f t="shared" si="28"/>
        <v>0.25769432361280781</v>
      </c>
      <c r="AA20" s="65">
        <f t="shared" si="28"/>
        <v>0.25781715229951435</v>
      </c>
      <c r="AB20" s="65">
        <f t="shared" si="28"/>
        <v>0.2579425399171939</v>
      </c>
      <c r="AC20" s="65">
        <f t="shared" si="28"/>
        <v>0.25807053977690869</v>
      </c>
      <c r="AD20" s="65">
        <f t="shared" si="28"/>
        <v>0.25918547488668187</v>
      </c>
      <c r="AE20" s="65">
        <f t="shared" si="28"/>
        <v>0.25931251178448883</v>
      </c>
      <c r="AF20" s="65">
        <f t="shared" si="28"/>
        <v>0.25944219528433349</v>
      </c>
      <c r="AG20" s="65">
        <f t="shared" si="28"/>
        <v>0.25957458052375826</v>
      </c>
      <c r="AH20" s="65">
        <f t="shared" ref="AH20:BI20" si="29">IFERROR(IF(AH19/AH9&lt;0,"н/д",IF(ISERR(AH19/AH9),0,AH19/AH9)),"н/д")</f>
        <v>0.25970972378900442</v>
      </c>
      <c r="AI20" s="65">
        <f t="shared" si="29"/>
        <v>0.25984768253894314</v>
      </c>
      <c r="AJ20" s="65">
        <f t="shared" si="29"/>
        <v>0.25998851542950568</v>
      </c>
      <c r="AK20" s="65">
        <f t="shared" si="29"/>
        <v>0.26013228233862146</v>
      </c>
      <c r="AL20" s="65">
        <f t="shared" si="29"/>
        <v>0.26027904439167721</v>
      </c>
      <c r="AM20" s="65">
        <f t="shared" si="29"/>
        <v>0.26042886398750498</v>
      </c>
      <c r="AN20" s="65">
        <f t="shared" si="29"/>
        <v>0.26058180482491256</v>
      </c>
      <c r="AO20" s="65">
        <f t="shared" si="29"/>
        <v>0.26073793192976596</v>
      </c>
      <c r="AP20" s="65">
        <f t="shared" si="29"/>
        <v>0.26177013661216147</v>
      </c>
      <c r="AQ20" s="65">
        <f t="shared" si="29"/>
        <v>0.26192508914967527</v>
      </c>
      <c r="AR20" s="65">
        <f t="shared" si="29"/>
        <v>0.26208326986505387</v>
      </c>
      <c r="AS20" s="65">
        <f t="shared" si="29"/>
        <v>0.26224474601200287</v>
      </c>
      <c r="AT20" s="65">
        <f t="shared" si="29"/>
        <v>0.26240958624534666</v>
      </c>
      <c r="AU20" s="65">
        <f t="shared" si="29"/>
        <v>0.26257786065021843</v>
      </c>
      <c r="AV20" s="65">
        <f t="shared" si="29"/>
        <v>0.26274964077185836</v>
      </c>
      <c r="AW20" s="65">
        <f t="shared" si="29"/>
        <v>0.26292499964603244</v>
      </c>
      <c r="AX20" s="65">
        <f t="shared" si="29"/>
        <v>0.26310401183008519</v>
      </c>
      <c r="AY20" s="65">
        <f t="shared" si="29"/>
        <v>0.26328675343463898</v>
      </c>
      <c r="AZ20" s="65">
        <f t="shared" si="29"/>
        <v>0.26347330215595433</v>
      </c>
      <c r="BA20" s="65">
        <f t="shared" si="29"/>
        <v>0.2636637373089637</v>
      </c>
      <c r="BB20" s="65">
        <f t="shared" si="29"/>
        <v>0.26460659257555591</v>
      </c>
      <c r="BC20" s="65">
        <f t="shared" si="29"/>
        <v>0.26479559505669664</v>
      </c>
      <c r="BD20" s="65">
        <f t="shared" si="29"/>
        <v>0.26498853508952774</v>
      </c>
      <c r="BE20" s="65">
        <f t="shared" si="29"/>
        <v>0.2651854947063762</v>
      </c>
      <c r="BF20" s="65">
        <f t="shared" si="29"/>
        <v>0.26538655764857572</v>
      </c>
      <c r="BG20" s="65">
        <f t="shared" si="29"/>
        <v>0.265591809402071</v>
      </c>
      <c r="BH20" s="65">
        <f t="shared" si="29"/>
        <v>0.26580133723376415</v>
      </c>
      <c r="BI20" s="65">
        <f t="shared" si="29"/>
        <v>0.71458594495740668</v>
      </c>
      <c r="BK20" s="65">
        <f t="shared" ref="BK20:BP20" si="30">IF(ISERR(BK19/BK9),0,BK19/BK9)</f>
        <v>-1.4125215086259104</v>
      </c>
      <c r="BL20" s="65">
        <f t="shared" si="30"/>
        <v>0.23122138907062814</v>
      </c>
      <c r="BM20" s="65">
        <f t="shared" si="30"/>
        <v>0.25741230269772947</v>
      </c>
      <c r="BN20" s="65">
        <f t="shared" si="30"/>
        <v>0.25993505097576652</v>
      </c>
      <c r="BO20" s="65">
        <f t="shared" si="30"/>
        <v>0.2626844278068326</v>
      </c>
      <c r="BP20" s="65">
        <f t="shared" si="30"/>
        <v>0.32136773333374685</v>
      </c>
      <c r="BR20" s="63">
        <f>IF(ISERR(BR19/BR9),0,BR19/BR9)</f>
        <v>0.25952321238336323</v>
      </c>
    </row>
    <row r="21" spans="1:70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</row>
    <row r="22" spans="1:70">
      <c r="A22" s="27" t="s">
        <v>27</v>
      </c>
      <c r="B22" s="25">
        <f>Амортизация!C22</f>
        <v>0</v>
      </c>
      <c r="C22" s="25">
        <f>Амортизация!D22</f>
        <v>0</v>
      </c>
      <c r="D22" s="25">
        <f>Амортизация!E22</f>
        <v>0</v>
      </c>
      <c r="E22" s="25">
        <f>Амортизация!F22</f>
        <v>771.04206018518516</v>
      </c>
      <c r="F22" s="25">
        <f>Амортизация!G22</f>
        <v>771.04206018518516</v>
      </c>
      <c r="G22" s="25">
        <f>Амортизация!H22</f>
        <v>771.04206018518516</v>
      </c>
      <c r="H22" s="25">
        <f>Амортизация!I22</f>
        <v>771.04206018518516</v>
      </c>
      <c r="I22" s="25">
        <f>Амортизация!J22</f>
        <v>771.04206018518516</v>
      </c>
      <c r="J22" s="25">
        <f>Амортизация!K22</f>
        <v>771.04206018518516</v>
      </c>
      <c r="K22" s="25">
        <f>Амортизация!L22</f>
        <v>771.04206018518516</v>
      </c>
      <c r="L22" s="25">
        <f>Амортизация!M22</f>
        <v>771.04206018518516</v>
      </c>
      <c r="M22" s="25">
        <f>Амортизация!N22</f>
        <v>771.04206018518516</v>
      </c>
      <c r="N22" s="25">
        <f>Амортизация!O22</f>
        <v>771.04206018518516</v>
      </c>
      <c r="O22" s="25">
        <f>Амортизация!P22</f>
        <v>771.04206018518516</v>
      </c>
      <c r="P22" s="25">
        <f>Амортизация!Q22</f>
        <v>771.04206018518516</v>
      </c>
      <c r="Q22" s="25">
        <f>Амортизация!R22</f>
        <v>771.04206018518516</v>
      </c>
      <c r="R22" s="25">
        <f>Амортизация!S22</f>
        <v>771.04206018518516</v>
      </c>
      <c r="S22" s="25">
        <f>Амортизация!T22</f>
        <v>771.04206018518516</v>
      </c>
      <c r="T22" s="25">
        <f>Амортизация!U22</f>
        <v>771.04206018518516</v>
      </c>
      <c r="U22" s="25">
        <f>Амортизация!V22</f>
        <v>771.04206018518516</v>
      </c>
      <c r="V22" s="25">
        <f>Амортизация!W22</f>
        <v>771.04206018518516</v>
      </c>
      <c r="W22" s="25">
        <f>Амортизация!X22</f>
        <v>771.04206018518516</v>
      </c>
      <c r="X22" s="25">
        <f>Амортизация!Y22</f>
        <v>771.04206018518516</v>
      </c>
      <c r="Y22" s="25">
        <f>Амортизация!Z22</f>
        <v>771.04206018518516</v>
      </c>
      <c r="Z22" s="25">
        <f>Амортизация!AA22</f>
        <v>771.04206018518516</v>
      </c>
      <c r="AA22" s="25">
        <f>Амортизация!AB22</f>
        <v>771.04206018518516</v>
      </c>
      <c r="AB22" s="25">
        <f>Амортизация!AC22</f>
        <v>771.04206018518516</v>
      </c>
      <c r="AC22" s="25">
        <f>Амортизация!AD22</f>
        <v>771.04206018518516</v>
      </c>
      <c r="AD22" s="25">
        <f>Амортизация!AE22</f>
        <v>771.04206018518516</v>
      </c>
      <c r="AE22" s="25">
        <f>Амортизация!AF22</f>
        <v>771.04206018518516</v>
      </c>
      <c r="AF22" s="25">
        <f>Амортизация!AG22</f>
        <v>771.04206018518516</v>
      </c>
      <c r="AG22" s="25">
        <f>Амортизация!AH22</f>
        <v>771.04206018518516</v>
      </c>
      <c r="AH22" s="25">
        <f>Амортизация!AI22</f>
        <v>771.04206018518516</v>
      </c>
      <c r="AI22" s="25">
        <f>Амортизация!AJ22</f>
        <v>771.04206018518516</v>
      </c>
      <c r="AJ22" s="25">
        <f>Амортизация!AK22</f>
        <v>771.04206018518516</v>
      </c>
      <c r="AK22" s="25">
        <f>Амортизация!AL22</f>
        <v>771.04206018518516</v>
      </c>
      <c r="AL22" s="25">
        <f>Амортизация!AM22</f>
        <v>771.04206018518516</v>
      </c>
      <c r="AM22" s="25">
        <f>Амортизация!AN22</f>
        <v>771.04206018518516</v>
      </c>
      <c r="AN22" s="25">
        <f>Амортизация!AO22</f>
        <v>771.04206018518516</v>
      </c>
      <c r="AO22" s="25">
        <f>Амортизация!AP22</f>
        <v>771.04206018518516</v>
      </c>
      <c r="AP22" s="25">
        <f>Амортизация!AQ22</f>
        <v>771.04206018518516</v>
      </c>
      <c r="AQ22" s="25">
        <f>Амортизация!AR22</f>
        <v>771.04206018518516</v>
      </c>
      <c r="AR22" s="25">
        <f>Амортизация!AS22</f>
        <v>771.04206018518516</v>
      </c>
      <c r="AS22" s="25">
        <f>Амортизация!AT22</f>
        <v>771.04206018518516</v>
      </c>
      <c r="AT22" s="25">
        <f>Амортизация!AU22</f>
        <v>771.04206018518516</v>
      </c>
      <c r="AU22" s="25">
        <f>Амортизация!AV22</f>
        <v>771.04206018518516</v>
      </c>
      <c r="AV22" s="25">
        <f>Амортизация!AW22</f>
        <v>771.04206018518516</v>
      </c>
      <c r="AW22" s="25">
        <f>Амортизация!AX22</f>
        <v>771.04206018518516</v>
      </c>
      <c r="AX22" s="25">
        <f>Амортизация!AY22</f>
        <v>771.04206018518516</v>
      </c>
      <c r="AY22" s="25">
        <f>Амортизация!AZ22</f>
        <v>771.04206018518516</v>
      </c>
      <c r="AZ22" s="25">
        <f>Амортизация!BA22</f>
        <v>771.04206018518516</v>
      </c>
      <c r="BA22" s="25">
        <f>Амортизация!BB22</f>
        <v>771.04206018518516</v>
      </c>
      <c r="BB22" s="25">
        <f>Амортизация!BC22</f>
        <v>771.04206018518516</v>
      </c>
      <c r="BC22" s="25">
        <f>Амортизация!BD22</f>
        <v>771.04206018518516</v>
      </c>
      <c r="BD22" s="25">
        <f>Амортизация!BE22</f>
        <v>771.04206018518516</v>
      </c>
      <c r="BE22" s="25">
        <f>Амортизация!BF22</f>
        <v>771.04206018518516</v>
      </c>
      <c r="BF22" s="25">
        <f>Амортизация!BG22</f>
        <v>771.04206018518516</v>
      </c>
      <c r="BG22" s="25">
        <f>Амортизация!BH22</f>
        <v>771.04206018518516</v>
      </c>
      <c r="BH22" s="25">
        <f>Амортизация!BI22</f>
        <v>771.04206018518516</v>
      </c>
      <c r="BI22" s="25">
        <f>Амортизация!BJ22</f>
        <v>771.04206018518516</v>
      </c>
      <c r="BK22" s="25">
        <f t="shared" ref="BK22:BP23" si="31">SUMIF($B$2:$BI$2,BK$2,$B22:$BI22)</f>
        <v>771.04206018518516</v>
      </c>
      <c r="BL22" s="25">
        <f t="shared" si="31"/>
        <v>9252.5047222222238</v>
      </c>
      <c r="BM22" s="25">
        <f t="shared" si="31"/>
        <v>9252.5047222222238</v>
      </c>
      <c r="BN22" s="25">
        <f t="shared" si="31"/>
        <v>9252.5047222222238</v>
      </c>
      <c r="BO22" s="25">
        <f t="shared" si="31"/>
        <v>9252.5047222222238</v>
      </c>
      <c r="BP22" s="25">
        <f t="shared" si="31"/>
        <v>6168.3364814814813</v>
      </c>
      <c r="BR22" s="46">
        <f>SUM(BK22:BP22)</f>
        <v>43949.39743055556</v>
      </c>
    </row>
    <row r="23" spans="1:70">
      <c r="A23" s="27" t="s">
        <v>34</v>
      </c>
      <c r="B23" s="25">
        <f>B17-B16+B22</f>
        <v>-1695.3078999999993</v>
      </c>
      <c r="C23" s="25">
        <f t="shared" ref="C23:BI23" si="32">C17-C16+C22</f>
        <v>-1695.3078999999993</v>
      </c>
      <c r="D23" s="25">
        <f t="shared" si="32"/>
        <v>-30621.141233333325</v>
      </c>
      <c r="E23" s="25">
        <f t="shared" si="32"/>
        <v>-21193.39156180554</v>
      </c>
      <c r="F23" s="25">
        <f t="shared" si="32"/>
        <v>-1633.908020805558</v>
      </c>
      <c r="G23" s="25">
        <f t="shared" si="32"/>
        <v>18775.466979194469</v>
      </c>
      <c r="H23" s="25">
        <f t="shared" si="32"/>
        <v>39184.841979194418</v>
      </c>
      <c r="I23" s="25">
        <f t="shared" si="32"/>
        <v>89966.341979194432</v>
      </c>
      <c r="J23" s="25">
        <f t="shared" si="32"/>
        <v>89966.341979194432</v>
      </c>
      <c r="K23" s="25">
        <f t="shared" si="32"/>
        <v>89966.341979194432</v>
      </c>
      <c r="L23" s="25">
        <f t="shared" si="32"/>
        <v>89966.341979194432</v>
      </c>
      <c r="M23" s="25">
        <f t="shared" si="32"/>
        <v>89966.341979194432</v>
      </c>
      <c r="N23" s="25">
        <f t="shared" si="32"/>
        <v>89966.341979194432</v>
      </c>
      <c r="O23" s="25">
        <f t="shared" si="32"/>
        <v>89966.341979194432</v>
      </c>
      <c r="P23" s="25">
        <f t="shared" si="32"/>
        <v>89966.341979194432</v>
      </c>
      <c r="Q23" s="25">
        <f t="shared" si="32"/>
        <v>89966.341979194432</v>
      </c>
      <c r="R23" s="25">
        <f t="shared" si="32"/>
        <v>94680.695843924477</v>
      </c>
      <c r="S23" s="25">
        <f t="shared" si="32"/>
        <v>94680.695843924477</v>
      </c>
      <c r="T23" s="25">
        <f t="shared" si="32"/>
        <v>94680.695843924477</v>
      </c>
      <c r="U23" s="25">
        <f t="shared" si="32"/>
        <v>94680.695843924477</v>
      </c>
      <c r="V23" s="25">
        <f t="shared" si="32"/>
        <v>94680.695843924477</v>
      </c>
      <c r="W23" s="25">
        <f t="shared" si="32"/>
        <v>94680.695843924477</v>
      </c>
      <c r="X23" s="25">
        <f t="shared" si="32"/>
        <v>94680.695843924477</v>
      </c>
      <c r="Y23" s="25">
        <f t="shared" si="32"/>
        <v>94680.695843924477</v>
      </c>
      <c r="Z23" s="25">
        <f t="shared" si="32"/>
        <v>94680.695843924477</v>
      </c>
      <c r="AA23" s="25">
        <f t="shared" si="32"/>
        <v>94680.695843924477</v>
      </c>
      <c r="AB23" s="25">
        <f t="shared" si="32"/>
        <v>94680.695843924477</v>
      </c>
      <c r="AC23" s="25">
        <f t="shared" si="32"/>
        <v>94680.695843924477</v>
      </c>
      <c r="AD23" s="25">
        <f t="shared" si="32"/>
        <v>99637.213807971333</v>
      </c>
      <c r="AE23" s="25">
        <f t="shared" si="32"/>
        <v>99637.213807971333</v>
      </c>
      <c r="AF23" s="25">
        <f t="shared" si="32"/>
        <v>99637.213807971333</v>
      </c>
      <c r="AG23" s="25">
        <f t="shared" si="32"/>
        <v>99637.213807971333</v>
      </c>
      <c r="AH23" s="25">
        <f t="shared" si="32"/>
        <v>99637.213807971333</v>
      </c>
      <c r="AI23" s="25">
        <f t="shared" si="32"/>
        <v>99637.213807971333</v>
      </c>
      <c r="AJ23" s="25">
        <f t="shared" si="32"/>
        <v>99637.213807971333</v>
      </c>
      <c r="AK23" s="25">
        <f t="shared" si="32"/>
        <v>99637.213807971333</v>
      </c>
      <c r="AL23" s="25">
        <f t="shared" si="32"/>
        <v>99637.213807971333</v>
      </c>
      <c r="AM23" s="25">
        <f t="shared" si="32"/>
        <v>99637.213807971333</v>
      </c>
      <c r="AN23" s="25">
        <f t="shared" si="32"/>
        <v>99637.213807971333</v>
      </c>
      <c r="AO23" s="25">
        <f t="shared" si="32"/>
        <v>99637.213807971333</v>
      </c>
      <c r="AP23" s="25">
        <f t="shared" si="32"/>
        <v>104848.19746848347</v>
      </c>
      <c r="AQ23" s="25">
        <f t="shared" si="32"/>
        <v>104848.19746848347</v>
      </c>
      <c r="AR23" s="25">
        <f t="shared" si="32"/>
        <v>104848.19746848347</v>
      </c>
      <c r="AS23" s="25">
        <f t="shared" si="32"/>
        <v>104848.19746848347</v>
      </c>
      <c r="AT23" s="25">
        <f t="shared" si="32"/>
        <v>104848.19746848347</v>
      </c>
      <c r="AU23" s="25">
        <f t="shared" si="32"/>
        <v>104848.19746848347</v>
      </c>
      <c r="AV23" s="25">
        <f t="shared" si="32"/>
        <v>104848.19746848347</v>
      </c>
      <c r="AW23" s="25">
        <f t="shared" si="32"/>
        <v>104848.19746848346</v>
      </c>
      <c r="AX23" s="25">
        <f t="shared" si="32"/>
        <v>104848.19746848347</v>
      </c>
      <c r="AY23" s="25">
        <f t="shared" si="32"/>
        <v>104848.19746848347</v>
      </c>
      <c r="AZ23" s="25">
        <f t="shared" si="32"/>
        <v>104848.19746848347</v>
      </c>
      <c r="BA23" s="25">
        <f t="shared" si="32"/>
        <v>104848.19746848347</v>
      </c>
      <c r="BB23" s="25">
        <f t="shared" si="32"/>
        <v>110326.56930423179</v>
      </c>
      <c r="BC23" s="25">
        <f t="shared" si="32"/>
        <v>110326.56930423179</v>
      </c>
      <c r="BD23" s="25">
        <f t="shared" si="32"/>
        <v>110326.56930423179</v>
      </c>
      <c r="BE23" s="25">
        <f t="shared" si="32"/>
        <v>110326.56930423179</v>
      </c>
      <c r="BF23" s="25">
        <f t="shared" si="32"/>
        <v>110326.56930423179</v>
      </c>
      <c r="BG23" s="25">
        <f t="shared" si="32"/>
        <v>110326.56930423179</v>
      </c>
      <c r="BH23" s="25">
        <f t="shared" si="32"/>
        <v>110326.56930423179</v>
      </c>
      <c r="BI23" s="25">
        <f t="shared" si="32"/>
        <v>294914.10812063818</v>
      </c>
      <c r="BK23" s="25">
        <f t="shared" si="31"/>
        <v>-55205.14859513886</v>
      </c>
      <c r="BL23" s="25">
        <f t="shared" si="31"/>
        <v>866023.47875033319</v>
      </c>
      <c r="BM23" s="25">
        <f t="shared" si="31"/>
        <v>1136168.350127094</v>
      </c>
      <c r="BN23" s="25">
        <f t="shared" si="31"/>
        <v>1195646.565695656</v>
      </c>
      <c r="BO23" s="25">
        <f t="shared" si="31"/>
        <v>1258178.3696218017</v>
      </c>
      <c r="BP23" s="25">
        <f t="shared" si="31"/>
        <v>1067200.0932502607</v>
      </c>
      <c r="BR23" s="64">
        <f>SUM(BK23:BP23)</f>
        <v>5468011.7088500066</v>
      </c>
    </row>
    <row r="24" spans="1:70">
      <c r="A24" s="67" t="s">
        <v>35</v>
      </c>
      <c r="B24" s="65" t="str">
        <f t="shared" ref="B24:AG24" si="33">IFERROR(IF(B23/B9&lt;0,"н/д",IF(ISERR(B23/B9),0,B23/B9)),"н/д")</f>
        <v>н/д</v>
      </c>
      <c r="C24" s="65" t="str">
        <f t="shared" si="33"/>
        <v>н/д</v>
      </c>
      <c r="D24" s="65" t="str">
        <f t="shared" si="33"/>
        <v>н/д</v>
      </c>
      <c r="E24" s="65" t="str">
        <f t="shared" si="33"/>
        <v>н/д</v>
      </c>
      <c r="F24" s="65" t="str">
        <f t="shared" si="33"/>
        <v>н/д</v>
      </c>
      <c r="G24" s="65">
        <f t="shared" si="33"/>
        <v>0.12324348420320042</v>
      </c>
      <c r="H24" s="65">
        <f t="shared" si="33"/>
        <v>0.19290904157613706</v>
      </c>
      <c r="I24" s="65">
        <f t="shared" si="33"/>
        <v>0.35432723326090965</v>
      </c>
      <c r="J24" s="65">
        <f t="shared" si="33"/>
        <v>0.35432723326090965</v>
      </c>
      <c r="K24" s="65">
        <f t="shared" si="33"/>
        <v>0.35432723326090965</v>
      </c>
      <c r="L24" s="65">
        <f t="shared" si="33"/>
        <v>0.35432723326090965</v>
      </c>
      <c r="M24" s="65">
        <f t="shared" si="33"/>
        <v>0.35432723326090965</v>
      </c>
      <c r="N24" s="65">
        <f t="shared" si="33"/>
        <v>0.35432723326090965</v>
      </c>
      <c r="O24" s="65">
        <f t="shared" si="33"/>
        <v>0.35432723326090965</v>
      </c>
      <c r="P24" s="65">
        <f t="shared" si="33"/>
        <v>0.35432723326090965</v>
      </c>
      <c r="Q24" s="65">
        <f t="shared" si="33"/>
        <v>0.35432723326090965</v>
      </c>
      <c r="R24" s="65">
        <f t="shared" si="33"/>
        <v>0.35513756497908905</v>
      </c>
      <c r="S24" s="65">
        <f t="shared" si="33"/>
        <v>0.35513756497908905</v>
      </c>
      <c r="T24" s="65">
        <f t="shared" si="33"/>
        <v>0.35513756497908905</v>
      </c>
      <c r="U24" s="65">
        <f t="shared" si="33"/>
        <v>0.35513756497908905</v>
      </c>
      <c r="V24" s="65">
        <f t="shared" si="33"/>
        <v>0.35513756497908905</v>
      </c>
      <c r="W24" s="65">
        <f t="shared" si="33"/>
        <v>0.35513756497908905</v>
      </c>
      <c r="X24" s="65">
        <f t="shared" si="33"/>
        <v>0.35513756497908905</v>
      </c>
      <c r="Y24" s="65">
        <f t="shared" si="33"/>
        <v>0.35513756497908905</v>
      </c>
      <c r="Z24" s="65">
        <f t="shared" si="33"/>
        <v>0.35513756497908905</v>
      </c>
      <c r="AA24" s="65">
        <f t="shared" si="33"/>
        <v>0.35513756497908905</v>
      </c>
      <c r="AB24" s="65">
        <f t="shared" si="33"/>
        <v>0.35513756497908905</v>
      </c>
      <c r="AC24" s="65">
        <f t="shared" si="33"/>
        <v>0.35513756497908905</v>
      </c>
      <c r="AD24" s="65">
        <f t="shared" si="33"/>
        <v>0.35593233786027362</v>
      </c>
      <c r="AE24" s="65">
        <f t="shared" si="33"/>
        <v>0.35593233786027362</v>
      </c>
      <c r="AF24" s="65">
        <f t="shared" si="33"/>
        <v>0.35593233786027362</v>
      </c>
      <c r="AG24" s="65">
        <f t="shared" si="33"/>
        <v>0.35593233786027362</v>
      </c>
      <c r="AH24" s="65">
        <f t="shared" ref="AH24:BI24" si="34">IFERROR(IF(AH23/AH9&lt;0,"н/д",IF(ISERR(AH23/AH9),0,AH23/AH9)),"н/д")</f>
        <v>0.35593233786027362</v>
      </c>
      <c r="AI24" s="65">
        <f t="shared" si="34"/>
        <v>0.35593233786027362</v>
      </c>
      <c r="AJ24" s="65">
        <f t="shared" si="34"/>
        <v>0.35593233786027362</v>
      </c>
      <c r="AK24" s="65">
        <f t="shared" si="34"/>
        <v>0.35593233786027362</v>
      </c>
      <c r="AL24" s="65">
        <f t="shared" si="34"/>
        <v>0.35593233786027362</v>
      </c>
      <c r="AM24" s="65">
        <f t="shared" si="34"/>
        <v>0.35593233786027362</v>
      </c>
      <c r="AN24" s="65">
        <f t="shared" si="34"/>
        <v>0.35593233786027362</v>
      </c>
      <c r="AO24" s="65">
        <f t="shared" si="34"/>
        <v>0.35593233786027362</v>
      </c>
      <c r="AP24" s="65">
        <f t="shared" si="34"/>
        <v>0.35671185416550799</v>
      </c>
      <c r="AQ24" s="65">
        <f t="shared" si="34"/>
        <v>0.35671185416550799</v>
      </c>
      <c r="AR24" s="65">
        <f t="shared" si="34"/>
        <v>0.35671185416550799</v>
      </c>
      <c r="AS24" s="65">
        <f t="shared" si="34"/>
        <v>0.35671185416550799</v>
      </c>
      <c r="AT24" s="65">
        <f t="shared" si="34"/>
        <v>0.35671185416550799</v>
      </c>
      <c r="AU24" s="65">
        <f t="shared" si="34"/>
        <v>0.35671185416550799</v>
      </c>
      <c r="AV24" s="65">
        <f t="shared" si="34"/>
        <v>0.35671185416550799</v>
      </c>
      <c r="AW24" s="65">
        <f t="shared" si="34"/>
        <v>0.35671185416550794</v>
      </c>
      <c r="AX24" s="65">
        <f t="shared" si="34"/>
        <v>0.35671185416550799</v>
      </c>
      <c r="AY24" s="65">
        <f t="shared" si="34"/>
        <v>0.35671185416550799</v>
      </c>
      <c r="AZ24" s="65">
        <f t="shared" si="34"/>
        <v>0.35671185416550799</v>
      </c>
      <c r="BA24" s="65">
        <f t="shared" si="34"/>
        <v>0.35671185416550799</v>
      </c>
      <c r="BB24" s="65">
        <f t="shared" si="34"/>
        <v>0.35747641011742276</v>
      </c>
      <c r="BC24" s="65">
        <f t="shared" si="34"/>
        <v>0.35747641011742276</v>
      </c>
      <c r="BD24" s="65">
        <f t="shared" si="34"/>
        <v>0.35747641011742276</v>
      </c>
      <c r="BE24" s="65">
        <f t="shared" si="34"/>
        <v>0.35747641011742276</v>
      </c>
      <c r="BF24" s="65">
        <f t="shared" si="34"/>
        <v>0.35747641011742276</v>
      </c>
      <c r="BG24" s="65">
        <f t="shared" si="34"/>
        <v>0.35747641011742276</v>
      </c>
      <c r="BH24" s="65">
        <f t="shared" si="34"/>
        <v>0.35747641011742276</v>
      </c>
      <c r="BI24" s="65">
        <f t="shared" si="34"/>
        <v>0.95557069642247494</v>
      </c>
      <c r="BK24" s="65">
        <f t="shared" ref="BK24:BP24" si="35">IF(ISERR(BK23/BK9),0,BK23/BK9)</f>
        <v>-1.1414669914219904</v>
      </c>
      <c r="BL24" s="65">
        <f t="shared" si="35"/>
        <v>0.31581327508462481</v>
      </c>
      <c r="BM24" s="65">
        <f t="shared" si="35"/>
        <v>0.35513756497908916</v>
      </c>
      <c r="BN24" s="65">
        <f t="shared" si="35"/>
        <v>0.35593233786027373</v>
      </c>
      <c r="BO24" s="65">
        <f t="shared" si="35"/>
        <v>0.35671185416550788</v>
      </c>
      <c r="BP24" s="65">
        <f t="shared" si="35"/>
        <v>0.4322381959055544</v>
      </c>
      <c r="BR24" s="63">
        <f>IF(ISERR(BR23/BR9),0,BR23/BR9)</f>
        <v>0.35633460940373235</v>
      </c>
    </row>
    <row r="25" spans="1:70">
      <c r="A25" s="4"/>
    </row>
    <row r="26" spans="1:70">
      <c r="A26" s="4"/>
    </row>
    <row r="27" spans="1:70">
      <c r="A27" s="4"/>
    </row>
    <row r="28" spans="1:70">
      <c r="A28" s="4"/>
    </row>
    <row r="30" spans="1:70">
      <c r="B30" s="6"/>
      <c r="N30" s="6"/>
    </row>
  </sheetData>
  <pageMargins left="0.7" right="0.7" top="0.75" bottom="0.75" header="0.3" footer="0.3"/>
  <pageSetup paperSize="9" orientation="portrait" verticalDpi="0"/>
  <ignoredErrors>
    <ignoredError sqref="BR15 BK15" formula="1"/>
  </ignoredErrors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Q33"/>
  <sheetViews>
    <sheetView zoomScaleNormal="100" zoomScalePageLayoutView="150" workbookViewId="0">
      <pane xSplit="2" ySplit="5" topLeftCell="BH6" activePane="bottomRight" state="frozen"/>
      <selection pane="topRight" activeCell="C1" sqref="C1"/>
      <selection pane="bottomLeft" activeCell="A6" sqref="A6"/>
      <selection pane="bottomRight" activeCell="D3" activeCellId="1" sqref="D23:G23 D3:G3"/>
    </sheetView>
  </sheetViews>
  <sheetFormatPr defaultColWidth="8.5703125" defaultRowHeight="13.9"/>
  <cols>
    <col min="1" max="1" width="41.5703125" style="1" customWidth="1"/>
    <col min="2" max="2" width="9.5703125" style="1" customWidth="1"/>
    <col min="3" max="62" width="10.5703125" style="1" customWidth="1"/>
    <col min="63" max="63" width="8.5703125" style="1"/>
    <col min="64" max="69" width="10.5703125" style="1" customWidth="1"/>
    <col min="70" max="70" width="3.5703125" style="1" customWidth="1"/>
    <col min="71" max="71" width="11" style="1" customWidth="1"/>
    <col min="72" max="72" width="8.5703125" style="1"/>
    <col min="73" max="73" width="13.35546875" style="1" customWidth="1"/>
    <col min="74" max="16384" width="8.5703125" style="1"/>
  </cols>
  <sheetData>
    <row r="1" spans="1:121">
      <c r="A1" s="18" t="s">
        <v>6</v>
      </c>
      <c r="B1" s="72"/>
      <c r="C1" s="19">
        <f>IF(OR(MONTH(C3)=1,MONTH(C3)=2,MONTH(C3)=3),1,IF(OR(MONTH(C3)=4,MONTH(C3)=5,MONTH(C3)=6),2,IF(OR(MONTH(C3)=7,MONTH(C3)=8,MONTH(C3)=9),3,4)))</f>
        <v>3</v>
      </c>
      <c r="D1" s="19">
        <f>IF(OR(MONTH(D3)=1,MONTH(D3)=2,MONTH(D3)=3),1,IF(OR(MONTH(D3)=4,MONTH(D3)=5,MONTH(D3)=6),2,IF(OR(MONTH(D3)=7,MONTH(D3)=8,MONTH(D3)=9),3,4)))</f>
        <v>4</v>
      </c>
      <c r="E1" s="19">
        <f>IF(OR(MONTH(E3)=1,MONTH(E3)=2,MONTH(E3)=3),1,IF(OR(MONTH(E3)=4,MONTH(E3)=5,MONTH(E3)=6),2,IF(OR(MONTH(E3)=7,MONTH(E3)=8,MONTH(E3)=9),3,4)))</f>
        <v>4</v>
      </c>
      <c r="F1" s="19">
        <f t="shared" ref="F1:AL1" si="0">IF(OR(MONTH(F3)=1,MONTH(F3)=2,MONTH(F3)=3),1,IF(OR(MONTH(F3)=4,MONTH(F3)=5,MONTH(F3)=6),2,IF(OR(MONTH(F3)=7,MONTH(F3)=8,MONTH(F3)=9),3,4)))</f>
        <v>4</v>
      </c>
      <c r="G1" s="19">
        <f t="shared" si="0"/>
        <v>1</v>
      </c>
      <c r="H1" s="19">
        <f t="shared" si="0"/>
        <v>1</v>
      </c>
      <c r="I1" s="19">
        <f t="shared" si="0"/>
        <v>1</v>
      </c>
      <c r="J1" s="19">
        <f t="shared" si="0"/>
        <v>2</v>
      </c>
      <c r="K1" s="19">
        <f t="shared" si="0"/>
        <v>2</v>
      </c>
      <c r="L1" s="19">
        <f t="shared" si="0"/>
        <v>2</v>
      </c>
      <c r="M1" s="19">
        <f t="shared" si="0"/>
        <v>3</v>
      </c>
      <c r="N1" s="19">
        <f t="shared" si="0"/>
        <v>3</v>
      </c>
      <c r="O1" s="19">
        <f t="shared" si="0"/>
        <v>3</v>
      </c>
      <c r="P1" s="19">
        <f t="shared" si="0"/>
        <v>4</v>
      </c>
      <c r="Q1" s="19">
        <f t="shared" si="0"/>
        <v>4</v>
      </c>
      <c r="R1" s="19">
        <f t="shared" si="0"/>
        <v>4</v>
      </c>
      <c r="S1" s="19">
        <f t="shared" si="0"/>
        <v>1</v>
      </c>
      <c r="T1" s="19">
        <f t="shared" si="0"/>
        <v>1</v>
      </c>
      <c r="U1" s="19">
        <f t="shared" si="0"/>
        <v>1</v>
      </c>
      <c r="V1" s="19">
        <f t="shared" si="0"/>
        <v>2</v>
      </c>
      <c r="W1" s="19">
        <f t="shared" si="0"/>
        <v>2</v>
      </c>
      <c r="X1" s="19">
        <f t="shared" si="0"/>
        <v>2</v>
      </c>
      <c r="Y1" s="19">
        <f t="shared" si="0"/>
        <v>3</v>
      </c>
      <c r="Z1" s="19">
        <f t="shared" si="0"/>
        <v>3</v>
      </c>
      <c r="AA1" s="19">
        <f t="shared" si="0"/>
        <v>3</v>
      </c>
      <c r="AB1" s="19">
        <f t="shared" si="0"/>
        <v>4</v>
      </c>
      <c r="AC1" s="19">
        <f t="shared" si="0"/>
        <v>4</v>
      </c>
      <c r="AD1" s="19">
        <f t="shared" si="0"/>
        <v>4</v>
      </c>
      <c r="AE1" s="19">
        <f t="shared" si="0"/>
        <v>1</v>
      </c>
      <c r="AF1" s="19">
        <f t="shared" si="0"/>
        <v>1</v>
      </c>
      <c r="AG1" s="19">
        <f t="shared" si="0"/>
        <v>1</v>
      </c>
      <c r="AH1" s="19">
        <f t="shared" si="0"/>
        <v>2</v>
      </c>
      <c r="AI1" s="19">
        <f t="shared" si="0"/>
        <v>2</v>
      </c>
      <c r="AJ1" s="19">
        <f t="shared" si="0"/>
        <v>2</v>
      </c>
      <c r="AK1" s="19">
        <f t="shared" si="0"/>
        <v>3</v>
      </c>
      <c r="AL1" s="19">
        <f t="shared" si="0"/>
        <v>3</v>
      </c>
      <c r="AM1" s="19">
        <f t="shared" ref="AM1:BI1" si="1">IF(OR(MONTH(AM3)=1,MONTH(AM3)=2,MONTH(AM3)=3),1,IF(OR(MONTH(AM3)=4,MONTH(AM3)=5,MONTH(AM3)=6),2,IF(OR(MONTH(AM3)=7,MONTH(AM3)=8,MONTH(AM3)=9),3,4)))</f>
        <v>3</v>
      </c>
      <c r="AN1" s="19">
        <f t="shared" si="1"/>
        <v>4</v>
      </c>
      <c r="AO1" s="19">
        <f t="shared" si="1"/>
        <v>4</v>
      </c>
      <c r="AP1" s="19">
        <f t="shared" si="1"/>
        <v>4</v>
      </c>
      <c r="AQ1" s="19">
        <f t="shared" si="1"/>
        <v>1</v>
      </c>
      <c r="AR1" s="19">
        <f t="shared" si="1"/>
        <v>1</v>
      </c>
      <c r="AS1" s="19">
        <f t="shared" si="1"/>
        <v>1</v>
      </c>
      <c r="AT1" s="19">
        <f t="shared" si="1"/>
        <v>2</v>
      </c>
      <c r="AU1" s="19">
        <f t="shared" si="1"/>
        <v>2</v>
      </c>
      <c r="AV1" s="19">
        <f t="shared" si="1"/>
        <v>2</v>
      </c>
      <c r="AW1" s="19">
        <f t="shared" si="1"/>
        <v>3</v>
      </c>
      <c r="AX1" s="19">
        <f t="shared" si="1"/>
        <v>3</v>
      </c>
      <c r="AY1" s="19">
        <f t="shared" si="1"/>
        <v>3</v>
      </c>
      <c r="AZ1" s="19">
        <f t="shared" si="1"/>
        <v>4</v>
      </c>
      <c r="BA1" s="19">
        <f t="shared" si="1"/>
        <v>4</v>
      </c>
      <c r="BB1" s="19">
        <f t="shared" si="1"/>
        <v>4</v>
      </c>
      <c r="BC1" s="19">
        <f t="shared" si="1"/>
        <v>1</v>
      </c>
      <c r="BD1" s="19">
        <f t="shared" si="1"/>
        <v>1</v>
      </c>
      <c r="BE1" s="19">
        <f t="shared" si="1"/>
        <v>1</v>
      </c>
      <c r="BF1" s="19">
        <f t="shared" si="1"/>
        <v>2</v>
      </c>
      <c r="BG1" s="19">
        <f t="shared" si="1"/>
        <v>2</v>
      </c>
      <c r="BH1" s="19">
        <f t="shared" si="1"/>
        <v>2</v>
      </c>
      <c r="BI1" s="19">
        <f t="shared" si="1"/>
        <v>3</v>
      </c>
      <c r="BJ1" s="19">
        <f t="shared" ref="BJ1" si="2">IF(OR(MONTH(BJ3)=1,MONTH(BJ3)=2,MONTH(BJ3)=3),1,IF(OR(MONTH(BJ3)=4,MONTH(BJ3)=5,MONTH(BJ3)=6),2,IF(OR(MONTH(BJ3)=7,MONTH(BJ3)=8,MONTH(BJ3)=9),3,4)))</f>
        <v>3</v>
      </c>
    </row>
    <row r="2" spans="1:121">
      <c r="A2" s="18" t="s">
        <v>7</v>
      </c>
      <c r="B2" s="72"/>
      <c r="C2" s="19">
        <f>YEAR(C3)</f>
        <v>2025</v>
      </c>
      <c r="D2" s="19">
        <f>YEAR(D3)</f>
        <v>2025</v>
      </c>
      <c r="E2" s="19">
        <f t="shared" ref="E2:BJ2" si="3">YEAR(E3)</f>
        <v>2025</v>
      </c>
      <c r="F2" s="19">
        <f t="shared" si="3"/>
        <v>2025</v>
      </c>
      <c r="G2" s="19">
        <f t="shared" si="3"/>
        <v>2026</v>
      </c>
      <c r="H2" s="19">
        <f t="shared" si="3"/>
        <v>2026</v>
      </c>
      <c r="I2" s="19">
        <f t="shared" si="3"/>
        <v>2026</v>
      </c>
      <c r="J2" s="19">
        <f t="shared" si="3"/>
        <v>2026</v>
      </c>
      <c r="K2" s="19">
        <f t="shared" si="3"/>
        <v>2026</v>
      </c>
      <c r="L2" s="19">
        <f t="shared" si="3"/>
        <v>2026</v>
      </c>
      <c r="M2" s="19">
        <f t="shared" si="3"/>
        <v>2026</v>
      </c>
      <c r="N2" s="19">
        <f t="shared" si="3"/>
        <v>2026</v>
      </c>
      <c r="O2" s="19">
        <f t="shared" si="3"/>
        <v>2026</v>
      </c>
      <c r="P2" s="19">
        <f t="shared" si="3"/>
        <v>2026</v>
      </c>
      <c r="Q2" s="19">
        <f t="shared" si="3"/>
        <v>2026</v>
      </c>
      <c r="R2" s="19">
        <f t="shared" si="3"/>
        <v>2026</v>
      </c>
      <c r="S2" s="19">
        <f t="shared" si="3"/>
        <v>2027</v>
      </c>
      <c r="T2" s="19">
        <f t="shared" si="3"/>
        <v>2027</v>
      </c>
      <c r="U2" s="19">
        <f t="shared" si="3"/>
        <v>2027</v>
      </c>
      <c r="V2" s="19">
        <f t="shared" si="3"/>
        <v>2027</v>
      </c>
      <c r="W2" s="19">
        <f t="shared" si="3"/>
        <v>2027</v>
      </c>
      <c r="X2" s="19">
        <f t="shared" si="3"/>
        <v>2027</v>
      </c>
      <c r="Y2" s="19">
        <f t="shared" si="3"/>
        <v>2027</v>
      </c>
      <c r="Z2" s="19">
        <f t="shared" si="3"/>
        <v>2027</v>
      </c>
      <c r="AA2" s="19">
        <f t="shared" si="3"/>
        <v>2027</v>
      </c>
      <c r="AB2" s="19">
        <f t="shared" si="3"/>
        <v>2027</v>
      </c>
      <c r="AC2" s="19">
        <f t="shared" si="3"/>
        <v>2027</v>
      </c>
      <c r="AD2" s="19">
        <f t="shared" si="3"/>
        <v>2027</v>
      </c>
      <c r="AE2" s="19">
        <f t="shared" si="3"/>
        <v>2028</v>
      </c>
      <c r="AF2" s="19">
        <f t="shared" si="3"/>
        <v>2028</v>
      </c>
      <c r="AG2" s="19">
        <f t="shared" si="3"/>
        <v>2028</v>
      </c>
      <c r="AH2" s="19">
        <f t="shared" si="3"/>
        <v>2028</v>
      </c>
      <c r="AI2" s="19">
        <f t="shared" si="3"/>
        <v>2028</v>
      </c>
      <c r="AJ2" s="19">
        <f t="shared" si="3"/>
        <v>2028</v>
      </c>
      <c r="AK2" s="19">
        <f t="shared" si="3"/>
        <v>2028</v>
      </c>
      <c r="AL2" s="19">
        <f t="shared" si="3"/>
        <v>2028</v>
      </c>
      <c r="AM2" s="19">
        <f t="shared" si="3"/>
        <v>2028</v>
      </c>
      <c r="AN2" s="19">
        <f t="shared" si="3"/>
        <v>2028</v>
      </c>
      <c r="AO2" s="19">
        <f t="shared" si="3"/>
        <v>2028</v>
      </c>
      <c r="AP2" s="19">
        <f t="shared" si="3"/>
        <v>2028</v>
      </c>
      <c r="AQ2" s="19">
        <f t="shared" si="3"/>
        <v>2029</v>
      </c>
      <c r="AR2" s="19">
        <f t="shared" si="3"/>
        <v>2029</v>
      </c>
      <c r="AS2" s="19">
        <f t="shared" si="3"/>
        <v>2029</v>
      </c>
      <c r="AT2" s="19">
        <f t="shared" si="3"/>
        <v>2029</v>
      </c>
      <c r="AU2" s="19">
        <f t="shared" si="3"/>
        <v>2029</v>
      </c>
      <c r="AV2" s="19">
        <f t="shared" si="3"/>
        <v>2029</v>
      </c>
      <c r="AW2" s="19">
        <f t="shared" si="3"/>
        <v>2029</v>
      </c>
      <c r="AX2" s="19">
        <f t="shared" si="3"/>
        <v>2029</v>
      </c>
      <c r="AY2" s="19">
        <f t="shared" si="3"/>
        <v>2029</v>
      </c>
      <c r="AZ2" s="19">
        <f t="shared" si="3"/>
        <v>2029</v>
      </c>
      <c r="BA2" s="19">
        <f t="shared" si="3"/>
        <v>2029</v>
      </c>
      <c r="BB2" s="19">
        <f t="shared" si="3"/>
        <v>2029</v>
      </c>
      <c r="BC2" s="19">
        <f t="shared" si="3"/>
        <v>2030</v>
      </c>
      <c r="BD2" s="19">
        <f t="shared" si="3"/>
        <v>2030</v>
      </c>
      <c r="BE2" s="19">
        <f t="shared" si="3"/>
        <v>2030</v>
      </c>
      <c r="BF2" s="19">
        <f t="shared" si="3"/>
        <v>2030</v>
      </c>
      <c r="BG2" s="19">
        <f t="shared" si="3"/>
        <v>2030</v>
      </c>
      <c r="BH2" s="19">
        <f t="shared" si="3"/>
        <v>2030</v>
      </c>
      <c r="BI2" s="19">
        <f t="shared" si="3"/>
        <v>2030</v>
      </c>
      <c r="BJ2" s="19">
        <f t="shared" si="3"/>
        <v>2030</v>
      </c>
      <c r="BL2" s="19">
        <f>YEAR(Допущения!C4)</f>
        <v>2025</v>
      </c>
      <c r="BM2" s="19">
        <f t="shared" ref="BM2:BO2" si="4">BL2+1</f>
        <v>2026</v>
      </c>
      <c r="BN2" s="19">
        <f t="shared" si="4"/>
        <v>2027</v>
      </c>
      <c r="BO2" s="19">
        <f t="shared" si="4"/>
        <v>2028</v>
      </c>
      <c r="BP2" s="19">
        <f t="shared" ref="BP2" si="5">BO2+1</f>
        <v>2029</v>
      </c>
      <c r="BQ2" s="19">
        <f t="shared" ref="BQ2" si="6">BP2+1</f>
        <v>2030</v>
      </c>
      <c r="BS2" s="23" t="s">
        <v>11</v>
      </c>
    </row>
    <row r="3" spans="1:121">
      <c r="A3" s="18" t="s">
        <v>8</v>
      </c>
      <c r="B3" s="72"/>
      <c r="C3" s="20">
        <f>Допущения!C4</f>
        <v>45901</v>
      </c>
      <c r="D3" s="20">
        <f t="shared" ref="D3:O3" si="7">DATE(YEAR(C3),MONTH(C3)+1,1)</f>
        <v>45931</v>
      </c>
      <c r="E3" s="20">
        <f t="shared" si="7"/>
        <v>45962</v>
      </c>
      <c r="F3" s="20">
        <f t="shared" si="7"/>
        <v>45992</v>
      </c>
      <c r="G3" s="20">
        <f t="shared" si="7"/>
        <v>46023</v>
      </c>
      <c r="H3" s="20">
        <f t="shared" si="7"/>
        <v>46054</v>
      </c>
      <c r="I3" s="20">
        <f t="shared" si="7"/>
        <v>46082</v>
      </c>
      <c r="J3" s="20">
        <f t="shared" si="7"/>
        <v>46113</v>
      </c>
      <c r="K3" s="20">
        <f t="shared" si="7"/>
        <v>46143</v>
      </c>
      <c r="L3" s="20">
        <f t="shared" si="7"/>
        <v>46174</v>
      </c>
      <c r="M3" s="20">
        <f t="shared" si="7"/>
        <v>46204</v>
      </c>
      <c r="N3" s="20">
        <f t="shared" si="7"/>
        <v>46235</v>
      </c>
      <c r="O3" s="20">
        <f t="shared" si="7"/>
        <v>46266</v>
      </c>
      <c r="P3" s="20">
        <f t="shared" ref="P3:AL3" si="8">DATE(YEAR(O3),MONTH(O3)+1,1)</f>
        <v>46296</v>
      </c>
      <c r="Q3" s="20">
        <f t="shared" si="8"/>
        <v>46327</v>
      </c>
      <c r="R3" s="20">
        <f t="shared" si="8"/>
        <v>46357</v>
      </c>
      <c r="S3" s="20">
        <f t="shared" si="8"/>
        <v>46388</v>
      </c>
      <c r="T3" s="20">
        <f t="shared" si="8"/>
        <v>46419</v>
      </c>
      <c r="U3" s="20">
        <f t="shared" si="8"/>
        <v>46447</v>
      </c>
      <c r="V3" s="20">
        <f t="shared" si="8"/>
        <v>46478</v>
      </c>
      <c r="W3" s="20">
        <f t="shared" si="8"/>
        <v>46508</v>
      </c>
      <c r="X3" s="20">
        <f t="shared" si="8"/>
        <v>46539</v>
      </c>
      <c r="Y3" s="20">
        <f t="shared" si="8"/>
        <v>46569</v>
      </c>
      <c r="Z3" s="20">
        <f t="shared" si="8"/>
        <v>46600</v>
      </c>
      <c r="AA3" s="20">
        <f t="shared" si="8"/>
        <v>46631</v>
      </c>
      <c r="AB3" s="20">
        <f t="shared" si="8"/>
        <v>46661</v>
      </c>
      <c r="AC3" s="20">
        <f t="shared" si="8"/>
        <v>46692</v>
      </c>
      <c r="AD3" s="20">
        <f t="shared" si="8"/>
        <v>46722</v>
      </c>
      <c r="AE3" s="20">
        <f t="shared" si="8"/>
        <v>46753</v>
      </c>
      <c r="AF3" s="20">
        <f t="shared" si="8"/>
        <v>46784</v>
      </c>
      <c r="AG3" s="20">
        <f t="shared" si="8"/>
        <v>46813</v>
      </c>
      <c r="AH3" s="20">
        <f t="shared" si="8"/>
        <v>46844</v>
      </c>
      <c r="AI3" s="20">
        <f t="shared" si="8"/>
        <v>46874</v>
      </c>
      <c r="AJ3" s="20">
        <f t="shared" si="8"/>
        <v>46905</v>
      </c>
      <c r="AK3" s="20">
        <f t="shared" si="8"/>
        <v>46935</v>
      </c>
      <c r="AL3" s="20">
        <f t="shared" si="8"/>
        <v>46966</v>
      </c>
      <c r="AM3" s="20">
        <f t="shared" ref="AM3:BI3" si="9">DATE(YEAR(AL3),MONTH(AL3)+1,1)</f>
        <v>46997</v>
      </c>
      <c r="AN3" s="20">
        <f t="shared" si="9"/>
        <v>47027</v>
      </c>
      <c r="AO3" s="20">
        <f t="shared" si="9"/>
        <v>47058</v>
      </c>
      <c r="AP3" s="20">
        <f t="shared" si="9"/>
        <v>47088</v>
      </c>
      <c r="AQ3" s="20">
        <f t="shared" si="9"/>
        <v>47119</v>
      </c>
      <c r="AR3" s="20">
        <f t="shared" si="9"/>
        <v>47150</v>
      </c>
      <c r="AS3" s="20">
        <f t="shared" si="9"/>
        <v>47178</v>
      </c>
      <c r="AT3" s="20">
        <f t="shared" si="9"/>
        <v>47209</v>
      </c>
      <c r="AU3" s="20">
        <f t="shared" si="9"/>
        <v>47239</v>
      </c>
      <c r="AV3" s="20">
        <f t="shared" si="9"/>
        <v>47270</v>
      </c>
      <c r="AW3" s="20">
        <f t="shared" si="9"/>
        <v>47300</v>
      </c>
      <c r="AX3" s="20">
        <f t="shared" si="9"/>
        <v>47331</v>
      </c>
      <c r="AY3" s="20">
        <f t="shared" si="9"/>
        <v>47362</v>
      </c>
      <c r="AZ3" s="20">
        <f t="shared" si="9"/>
        <v>47392</v>
      </c>
      <c r="BA3" s="20">
        <f t="shared" si="9"/>
        <v>47423</v>
      </c>
      <c r="BB3" s="20">
        <f t="shared" si="9"/>
        <v>47453</v>
      </c>
      <c r="BC3" s="20">
        <f t="shared" si="9"/>
        <v>47484</v>
      </c>
      <c r="BD3" s="20">
        <f t="shared" si="9"/>
        <v>47515</v>
      </c>
      <c r="BE3" s="20">
        <f t="shared" si="9"/>
        <v>47543</v>
      </c>
      <c r="BF3" s="20">
        <f t="shared" si="9"/>
        <v>47574</v>
      </c>
      <c r="BG3" s="20">
        <f t="shared" si="9"/>
        <v>47604</v>
      </c>
      <c r="BH3" s="20">
        <f t="shared" si="9"/>
        <v>47635</v>
      </c>
      <c r="BI3" s="20">
        <f t="shared" si="9"/>
        <v>47665</v>
      </c>
      <c r="BJ3" s="20">
        <f t="shared" ref="BJ3:BK3" si="10">DATE(YEAR(BI3),MONTH(BI3)+1,1)</f>
        <v>47696</v>
      </c>
      <c r="BK3" s="9">
        <f t="shared" si="10"/>
        <v>47727</v>
      </c>
    </row>
    <row r="4" spans="1:121">
      <c r="A4" s="18" t="s">
        <v>10</v>
      </c>
      <c r="B4" s="72"/>
      <c r="C4" s="19">
        <f>D3-C3</f>
        <v>30</v>
      </c>
      <c r="D4" s="19">
        <f>E3-D3</f>
        <v>31</v>
      </c>
      <c r="E4" s="19">
        <f t="shared" ref="E4:AK4" si="11">F3-E3</f>
        <v>30</v>
      </c>
      <c r="F4" s="19">
        <f t="shared" si="11"/>
        <v>31</v>
      </c>
      <c r="G4" s="19">
        <f t="shared" si="11"/>
        <v>31</v>
      </c>
      <c r="H4" s="19">
        <f t="shared" si="11"/>
        <v>28</v>
      </c>
      <c r="I4" s="19">
        <f t="shared" si="11"/>
        <v>31</v>
      </c>
      <c r="J4" s="19">
        <f t="shared" si="11"/>
        <v>30</v>
      </c>
      <c r="K4" s="19">
        <f t="shared" si="11"/>
        <v>31</v>
      </c>
      <c r="L4" s="19">
        <f t="shared" si="11"/>
        <v>30</v>
      </c>
      <c r="M4" s="19">
        <f t="shared" si="11"/>
        <v>31</v>
      </c>
      <c r="N4" s="19">
        <f t="shared" si="11"/>
        <v>31</v>
      </c>
      <c r="O4" s="19">
        <f t="shared" si="11"/>
        <v>30</v>
      </c>
      <c r="P4" s="19">
        <f t="shared" si="11"/>
        <v>31</v>
      </c>
      <c r="Q4" s="19">
        <f t="shared" si="11"/>
        <v>30</v>
      </c>
      <c r="R4" s="19">
        <f t="shared" si="11"/>
        <v>31</v>
      </c>
      <c r="S4" s="19">
        <f t="shared" si="11"/>
        <v>31</v>
      </c>
      <c r="T4" s="19">
        <f t="shared" si="11"/>
        <v>28</v>
      </c>
      <c r="U4" s="19">
        <f t="shared" si="11"/>
        <v>31</v>
      </c>
      <c r="V4" s="19">
        <f t="shared" si="11"/>
        <v>30</v>
      </c>
      <c r="W4" s="19">
        <f t="shared" si="11"/>
        <v>31</v>
      </c>
      <c r="X4" s="19">
        <f t="shared" si="11"/>
        <v>30</v>
      </c>
      <c r="Y4" s="19">
        <f t="shared" si="11"/>
        <v>31</v>
      </c>
      <c r="Z4" s="19">
        <f t="shared" si="11"/>
        <v>31</v>
      </c>
      <c r="AA4" s="19">
        <f t="shared" si="11"/>
        <v>30</v>
      </c>
      <c r="AB4" s="19">
        <f t="shared" si="11"/>
        <v>31</v>
      </c>
      <c r="AC4" s="19">
        <f t="shared" si="11"/>
        <v>30</v>
      </c>
      <c r="AD4" s="19">
        <f t="shared" si="11"/>
        <v>31</v>
      </c>
      <c r="AE4" s="19">
        <f t="shared" si="11"/>
        <v>31</v>
      </c>
      <c r="AF4" s="19">
        <f t="shared" si="11"/>
        <v>29</v>
      </c>
      <c r="AG4" s="19">
        <f t="shared" si="11"/>
        <v>31</v>
      </c>
      <c r="AH4" s="19">
        <f t="shared" si="11"/>
        <v>30</v>
      </c>
      <c r="AI4" s="19">
        <f t="shared" si="11"/>
        <v>31</v>
      </c>
      <c r="AJ4" s="19">
        <f t="shared" si="11"/>
        <v>30</v>
      </c>
      <c r="AK4" s="19">
        <f t="shared" si="11"/>
        <v>31</v>
      </c>
      <c r="AL4" s="19">
        <f t="shared" ref="AL4:BH4" si="12">AM3-AL3</f>
        <v>31</v>
      </c>
      <c r="AM4" s="19">
        <f t="shared" si="12"/>
        <v>30</v>
      </c>
      <c r="AN4" s="19">
        <f t="shared" si="12"/>
        <v>31</v>
      </c>
      <c r="AO4" s="19">
        <f t="shared" si="12"/>
        <v>30</v>
      </c>
      <c r="AP4" s="19">
        <f t="shared" si="12"/>
        <v>31</v>
      </c>
      <c r="AQ4" s="19">
        <f t="shared" si="12"/>
        <v>31</v>
      </c>
      <c r="AR4" s="19">
        <f t="shared" si="12"/>
        <v>28</v>
      </c>
      <c r="AS4" s="19">
        <f t="shared" si="12"/>
        <v>31</v>
      </c>
      <c r="AT4" s="19">
        <f t="shared" si="12"/>
        <v>30</v>
      </c>
      <c r="AU4" s="19">
        <f t="shared" si="12"/>
        <v>31</v>
      </c>
      <c r="AV4" s="19">
        <f t="shared" si="12"/>
        <v>30</v>
      </c>
      <c r="AW4" s="19">
        <f t="shared" si="12"/>
        <v>31</v>
      </c>
      <c r="AX4" s="19">
        <f t="shared" si="12"/>
        <v>31</v>
      </c>
      <c r="AY4" s="19">
        <f t="shared" si="12"/>
        <v>30</v>
      </c>
      <c r="AZ4" s="19">
        <f t="shared" si="12"/>
        <v>31</v>
      </c>
      <c r="BA4" s="19">
        <f t="shared" si="12"/>
        <v>30</v>
      </c>
      <c r="BB4" s="19">
        <f t="shared" si="12"/>
        <v>31</v>
      </c>
      <c r="BC4" s="19">
        <f t="shared" si="12"/>
        <v>31</v>
      </c>
      <c r="BD4" s="19">
        <f t="shared" si="12"/>
        <v>28</v>
      </c>
      <c r="BE4" s="19">
        <f t="shared" si="12"/>
        <v>31</v>
      </c>
      <c r="BF4" s="19">
        <f t="shared" si="12"/>
        <v>30</v>
      </c>
      <c r="BG4" s="19">
        <f t="shared" si="12"/>
        <v>31</v>
      </c>
      <c r="BH4" s="19">
        <f t="shared" si="12"/>
        <v>30</v>
      </c>
      <c r="BI4" s="19">
        <f t="shared" ref="BI4:BJ4" si="13">BJ3-BI3</f>
        <v>31</v>
      </c>
      <c r="BJ4" s="19">
        <f t="shared" si="13"/>
        <v>31</v>
      </c>
    </row>
    <row r="5" spans="1:121">
      <c r="A5" s="18" t="s">
        <v>9</v>
      </c>
      <c r="B5" s="72"/>
      <c r="C5" s="19">
        <v>1</v>
      </c>
      <c r="D5" s="19">
        <f>C5+1</f>
        <v>2</v>
      </c>
      <c r="E5" s="19">
        <f t="shared" ref="E5:AL5" si="14">D5+1</f>
        <v>3</v>
      </c>
      <c r="F5" s="19">
        <f t="shared" si="14"/>
        <v>4</v>
      </c>
      <c r="G5" s="19">
        <f t="shared" si="14"/>
        <v>5</v>
      </c>
      <c r="H5" s="19">
        <f t="shared" si="14"/>
        <v>6</v>
      </c>
      <c r="I5" s="19">
        <f t="shared" si="14"/>
        <v>7</v>
      </c>
      <c r="J5" s="19">
        <f t="shared" si="14"/>
        <v>8</v>
      </c>
      <c r="K5" s="19">
        <f t="shared" si="14"/>
        <v>9</v>
      </c>
      <c r="L5" s="19">
        <f t="shared" si="14"/>
        <v>10</v>
      </c>
      <c r="M5" s="19">
        <f t="shared" si="14"/>
        <v>11</v>
      </c>
      <c r="N5" s="19">
        <f t="shared" si="14"/>
        <v>12</v>
      </c>
      <c r="O5" s="19">
        <f t="shared" si="14"/>
        <v>13</v>
      </c>
      <c r="P5" s="19">
        <f t="shared" si="14"/>
        <v>14</v>
      </c>
      <c r="Q5" s="19">
        <f t="shared" si="14"/>
        <v>15</v>
      </c>
      <c r="R5" s="19">
        <f t="shared" si="14"/>
        <v>16</v>
      </c>
      <c r="S5" s="19">
        <f t="shared" si="14"/>
        <v>17</v>
      </c>
      <c r="T5" s="19">
        <f t="shared" si="14"/>
        <v>18</v>
      </c>
      <c r="U5" s="19">
        <f t="shared" si="14"/>
        <v>19</v>
      </c>
      <c r="V5" s="19">
        <f t="shared" si="14"/>
        <v>20</v>
      </c>
      <c r="W5" s="19">
        <f t="shared" si="14"/>
        <v>21</v>
      </c>
      <c r="X5" s="19">
        <f t="shared" si="14"/>
        <v>22</v>
      </c>
      <c r="Y5" s="19">
        <f t="shared" si="14"/>
        <v>23</v>
      </c>
      <c r="Z5" s="19">
        <f t="shared" si="14"/>
        <v>24</v>
      </c>
      <c r="AA5" s="19">
        <f t="shared" si="14"/>
        <v>25</v>
      </c>
      <c r="AB5" s="19">
        <f t="shared" si="14"/>
        <v>26</v>
      </c>
      <c r="AC5" s="19">
        <f t="shared" si="14"/>
        <v>27</v>
      </c>
      <c r="AD5" s="19">
        <f t="shared" si="14"/>
        <v>28</v>
      </c>
      <c r="AE5" s="19">
        <f t="shared" si="14"/>
        <v>29</v>
      </c>
      <c r="AF5" s="19">
        <f t="shared" si="14"/>
        <v>30</v>
      </c>
      <c r="AG5" s="19">
        <f t="shared" si="14"/>
        <v>31</v>
      </c>
      <c r="AH5" s="19">
        <f t="shared" si="14"/>
        <v>32</v>
      </c>
      <c r="AI5" s="19">
        <f t="shared" si="14"/>
        <v>33</v>
      </c>
      <c r="AJ5" s="19">
        <f>AI5+1</f>
        <v>34</v>
      </c>
      <c r="AK5" s="19">
        <f t="shared" si="14"/>
        <v>35</v>
      </c>
      <c r="AL5" s="19">
        <f t="shared" si="14"/>
        <v>36</v>
      </c>
      <c r="AM5" s="19">
        <f t="shared" ref="AM5:BI5" si="15">AL5+1</f>
        <v>37</v>
      </c>
      <c r="AN5" s="19">
        <f t="shared" si="15"/>
        <v>38</v>
      </c>
      <c r="AO5" s="19">
        <f t="shared" si="15"/>
        <v>39</v>
      </c>
      <c r="AP5" s="19">
        <f t="shared" si="15"/>
        <v>40</v>
      </c>
      <c r="AQ5" s="19">
        <f t="shared" si="15"/>
        <v>41</v>
      </c>
      <c r="AR5" s="19">
        <f t="shared" si="15"/>
        <v>42</v>
      </c>
      <c r="AS5" s="19">
        <f t="shared" si="15"/>
        <v>43</v>
      </c>
      <c r="AT5" s="19">
        <f t="shared" si="15"/>
        <v>44</v>
      </c>
      <c r="AU5" s="19">
        <f t="shared" si="15"/>
        <v>45</v>
      </c>
      <c r="AV5" s="19">
        <f t="shared" si="15"/>
        <v>46</v>
      </c>
      <c r="AW5" s="19">
        <f t="shared" si="15"/>
        <v>47</v>
      </c>
      <c r="AX5" s="19">
        <f t="shared" si="15"/>
        <v>48</v>
      </c>
      <c r="AY5" s="19">
        <f t="shared" si="15"/>
        <v>49</v>
      </c>
      <c r="AZ5" s="19">
        <f t="shared" si="15"/>
        <v>50</v>
      </c>
      <c r="BA5" s="19">
        <f t="shared" si="15"/>
        <v>51</v>
      </c>
      <c r="BB5" s="19">
        <f t="shared" si="15"/>
        <v>52</v>
      </c>
      <c r="BC5" s="19">
        <f t="shared" si="15"/>
        <v>53</v>
      </c>
      <c r="BD5" s="19">
        <f t="shared" si="15"/>
        <v>54</v>
      </c>
      <c r="BE5" s="19">
        <f t="shared" si="15"/>
        <v>55</v>
      </c>
      <c r="BF5" s="19">
        <f t="shared" si="15"/>
        <v>56</v>
      </c>
      <c r="BG5" s="19">
        <f t="shared" si="15"/>
        <v>57</v>
      </c>
      <c r="BH5" s="19">
        <f t="shared" si="15"/>
        <v>58</v>
      </c>
      <c r="BI5" s="19">
        <f t="shared" si="15"/>
        <v>59</v>
      </c>
      <c r="BJ5" s="19">
        <f t="shared" ref="BJ5" si="16">BI5+1</f>
        <v>60</v>
      </c>
    </row>
    <row r="6" spans="1:121">
      <c r="B6" s="7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BL6" s="4"/>
      <c r="BN6" s="4"/>
      <c r="BS6" s="4"/>
      <c r="BU6" s="4"/>
      <c r="BW6" s="4"/>
      <c r="BY6" s="4"/>
      <c r="CA6" s="4"/>
      <c r="CC6" s="4"/>
      <c r="CE6" s="4"/>
      <c r="CG6" s="4"/>
      <c r="CI6" s="4"/>
      <c r="CK6" s="4"/>
      <c r="CM6" s="4"/>
      <c r="CO6" s="4"/>
      <c r="CQ6" s="4"/>
      <c r="CS6" s="4"/>
      <c r="CU6" s="4"/>
      <c r="CW6" s="4"/>
      <c r="CY6" s="4"/>
      <c r="DA6" s="4"/>
      <c r="DC6" s="4"/>
      <c r="DE6" s="4"/>
      <c r="DG6" s="4"/>
      <c r="DI6" s="4"/>
      <c r="DK6" s="4"/>
      <c r="DM6" s="4"/>
      <c r="DO6" s="4"/>
      <c r="DQ6" s="4"/>
    </row>
    <row r="7" spans="1:121">
      <c r="A7" s="18" t="s">
        <v>25</v>
      </c>
      <c r="B7" s="19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</row>
    <row r="8" spans="1:121">
      <c r="A8" s="68" t="s">
        <v>34</v>
      </c>
      <c r="B8" s="69" t="s">
        <v>256</v>
      </c>
      <c r="C8" s="25">
        <f>ОПУ!B23</f>
        <v>-1695.3078999999993</v>
      </c>
      <c r="D8" s="25">
        <f>ОПУ!C23</f>
        <v>-1695.3078999999993</v>
      </c>
      <c r="E8" s="25">
        <f>ОПУ!D23</f>
        <v>-30621.141233333325</v>
      </c>
      <c r="F8" s="25">
        <f>ОПУ!E23</f>
        <v>-21193.39156180554</v>
      </c>
      <c r="G8" s="25">
        <f>ОПУ!F23</f>
        <v>-1633.908020805558</v>
      </c>
      <c r="H8" s="25">
        <f>ОПУ!G23</f>
        <v>18775.466979194469</v>
      </c>
      <c r="I8" s="25">
        <f>ОПУ!H23</f>
        <v>39184.841979194418</v>
      </c>
      <c r="J8" s="25">
        <f>ОПУ!I23</f>
        <v>89966.341979194432</v>
      </c>
      <c r="K8" s="25">
        <f>ОПУ!J23</f>
        <v>89966.341979194432</v>
      </c>
      <c r="L8" s="25">
        <f>ОПУ!K23</f>
        <v>89966.341979194432</v>
      </c>
      <c r="M8" s="25">
        <f>ОПУ!L23</f>
        <v>89966.341979194432</v>
      </c>
      <c r="N8" s="25">
        <f>ОПУ!M23</f>
        <v>89966.341979194432</v>
      </c>
      <c r="O8" s="25">
        <f>ОПУ!N23</f>
        <v>89966.341979194432</v>
      </c>
      <c r="P8" s="25">
        <f>ОПУ!O23</f>
        <v>89966.341979194432</v>
      </c>
      <c r="Q8" s="25">
        <f>ОПУ!P23</f>
        <v>89966.341979194432</v>
      </c>
      <c r="R8" s="25">
        <f>ОПУ!Q23</f>
        <v>89966.341979194432</v>
      </c>
      <c r="S8" s="25">
        <f>ОПУ!R23</f>
        <v>94680.695843924477</v>
      </c>
      <c r="T8" s="25">
        <f>ОПУ!S23</f>
        <v>94680.695843924477</v>
      </c>
      <c r="U8" s="25">
        <f>ОПУ!T23</f>
        <v>94680.695843924477</v>
      </c>
      <c r="V8" s="25">
        <f>ОПУ!U23</f>
        <v>94680.695843924477</v>
      </c>
      <c r="W8" s="25">
        <f>ОПУ!V23</f>
        <v>94680.695843924477</v>
      </c>
      <c r="X8" s="25">
        <f>ОПУ!W23</f>
        <v>94680.695843924477</v>
      </c>
      <c r="Y8" s="25">
        <f>ОПУ!X23</f>
        <v>94680.695843924477</v>
      </c>
      <c r="Z8" s="25">
        <f>ОПУ!Y23</f>
        <v>94680.695843924477</v>
      </c>
      <c r="AA8" s="25">
        <f>ОПУ!Z23</f>
        <v>94680.695843924477</v>
      </c>
      <c r="AB8" s="25">
        <f>ОПУ!AA23</f>
        <v>94680.695843924477</v>
      </c>
      <c r="AC8" s="25">
        <f>ОПУ!AB23</f>
        <v>94680.695843924477</v>
      </c>
      <c r="AD8" s="25">
        <f>ОПУ!AC23</f>
        <v>94680.695843924477</v>
      </c>
      <c r="AE8" s="25">
        <f>ОПУ!AD23</f>
        <v>99637.213807971333</v>
      </c>
      <c r="AF8" s="25">
        <f>ОПУ!AE23</f>
        <v>99637.213807971333</v>
      </c>
      <c r="AG8" s="25">
        <f>ОПУ!AF23</f>
        <v>99637.213807971333</v>
      </c>
      <c r="AH8" s="25">
        <f>ОПУ!AG23</f>
        <v>99637.213807971333</v>
      </c>
      <c r="AI8" s="25">
        <f>ОПУ!AH23</f>
        <v>99637.213807971333</v>
      </c>
      <c r="AJ8" s="25">
        <f>ОПУ!AI23</f>
        <v>99637.213807971333</v>
      </c>
      <c r="AK8" s="25">
        <f>ОПУ!AJ23</f>
        <v>99637.213807971333</v>
      </c>
      <c r="AL8" s="25">
        <f>ОПУ!AK23</f>
        <v>99637.213807971333</v>
      </c>
      <c r="AM8" s="25">
        <f>ОПУ!AL23</f>
        <v>99637.213807971333</v>
      </c>
      <c r="AN8" s="25">
        <f>ОПУ!AM23</f>
        <v>99637.213807971333</v>
      </c>
      <c r="AO8" s="25">
        <f>ОПУ!AN23</f>
        <v>99637.213807971333</v>
      </c>
      <c r="AP8" s="25">
        <f>ОПУ!AO23</f>
        <v>99637.213807971333</v>
      </c>
      <c r="AQ8" s="25">
        <f>ОПУ!AP23</f>
        <v>104848.19746848347</v>
      </c>
      <c r="AR8" s="25">
        <f>ОПУ!AQ23</f>
        <v>104848.19746848347</v>
      </c>
      <c r="AS8" s="25">
        <f>ОПУ!AR23</f>
        <v>104848.19746848347</v>
      </c>
      <c r="AT8" s="25">
        <f>ОПУ!AS23</f>
        <v>104848.19746848347</v>
      </c>
      <c r="AU8" s="25">
        <f>ОПУ!AT23</f>
        <v>104848.19746848347</v>
      </c>
      <c r="AV8" s="25">
        <f>ОПУ!AU23</f>
        <v>104848.19746848347</v>
      </c>
      <c r="AW8" s="25">
        <f>ОПУ!AV23</f>
        <v>104848.19746848347</v>
      </c>
      <c r="AX8" s="25">
        <f>ОПУ!AW23</f>
        <v>104848.19746848346</v>
      </c>
      <c r="AY8" s="25">
        <f>ОПУ!AX23</f>
        <v>104848.19746848347</v>
      </c>
      <c r="AZ8" s="25">
        <f>ОПУ!AY23</f>
        <v>104848.19746848347</v>
      </c>
      <c r="BA8" s="25">
        <f>ОПУ!AZ23</f>
        <v>104848.19746848347</v>
      </c>
      <c r="BB8" s="25">
        <f>ОПУ!BA23</f>
        <v>104848.19746848347</v>
      </c>
      <c r="BC8" s="25">
        <f>ОПУ!BB23</f>
        <v>110326.56930423179</v>
      </c>
      <c r="BD8" s="25">
        <f>ОПУ!BC23</f>
        <v>110326.56930423179</v>
      </c>
      <c r="BE8" s="25">
        <f>ОПУ!BD23</f>
        <v>110326.56930423179</v>
      </c>
      <c r="BF8" s="25">
        <f>ОПУ!BE23</f>
        <v>110326.56930423179</v>
      </c>
      <c r="BG8" s="25">
        <f>ОПУ!BF23</f>
        <v>110326.56930423179</v>
      </c>
      <c r="BH8" s="25">
        <f>ОПУ!BG23</f>
        <v>110326.56930423179</v>
      </c>
      <c r="BI8" s="25">
        <f>ОПУ!BH23</f>
        <v>110326.56930423179</v>
      </c>
      <c r="BJ8" s="25">
        <f>ОПУ!BI23</f>
        <v>294914.10812063818</v>
      </c>
      <c r="BL8" s="25">
        <f t="shared" ref="BL8:BQ20" si="17">SUMIF($C$2:$BJ$2,BL$2,$C8:$BJ8)</f>
        <v>-55205.14859513886</v>
      </c>
      <c r="BM8" s="25">
        <f t="shared" si="17"/>
        <v>866023.47875033319</v>
      </c>
      <c r="BN8" s="25">
        <f t="shared" si="17"/>
        <v>1136168.350127094</v>
      </c>
      <c r="BO8" s="25">
        <f t="shared" si="17"/>
        <v>1195646.565695656</v>
      </c>
      <c r="BP8" s="25">
        <f t="shared" si="17"/>
        <v>1258178.3696218017</v>
      </c>
      <c r="BQ8" s="25">
        <f t="shared" si="17"/>
        <v>1067200.0932502607</v>
      </c>
      <c r="BS8" s="46">
        <f>SUM(BL8:BQ8)</f>
        <v>5468011.7088500066</v>
      </c>
    </row>
    <row r="9" spans="1:121">
      <c r="A9" s="68" t="s">
        <v>124</v>
      </c>
      <c r="B9" s="69" t="s">
        <v>256</v>
      </c>
      <c r="C9" s="25">
        <f>ОПУ!B18</f>
        <v>0</v>
      </c>
      <c r="D9" s="25">
        <f>ОПУ!C18</f>
        <v>0</v>
      </c>
      <c r="E9" s="25">
        <f>ОПУ!D18</f>
        <v>0</v>
      </c>
      <c r="F9" s="25">
        <f>ОПУ!E18</f>
        <v>0</v>
      </c>
      <c r="G9" s="25">
        <f>ОПУ!F18</f>
        <v>0</v>
      </c>
      <c r="H9" s="25">
        <f>ОПУ!G18</f>
        <v>0</v>
      </c>
      <c r="I9" s="25">
        <f>ОПУ!H18</f>
        <v>0</v>
      </c>
      <c r="J9" s="25">
        <f>ОПУ!I18</f>
        <v>-15752.396417502247</v>
      </c>
      <c r="K9" s="25">
        <f>ОПУ!J18</f>
        <v>-21574.860342778768</v>
      </c>
      <c r="L9" s="25">
        <f>ОПУ!K18</f>
        <v>-21582.708467563032</v>
      </c>
      <c r="M9" s="25">
        <f>ОПУ!L18</f>
        <v>-21590.72009494697</v>
      </c>
      <c r="N9" s="25">
        <f>ОПУ!M18</f>
        <v>-21598.898631234741</v>
      </c>
      <c r="O9" s="25">
        <f>ОПУ!N18</f>
        <v>-21607.247553695168</v>
      </c>
      <c r="P9" s="25">
        <f>ОПУ!O18</f>
        <v>-21615.770412040176</v>
      </c>
      <c r="Q9" s="25">
        <f>ОПУ!P18</f>
        <v>-21624.470829934056</v>
      </c>
      <c r="R9" s="25">
        <f>ОПУ!Q18</f>
        <v>-21633.35250653408</v>
      </c>
      <c r="S9" s="25">
        <f>ОПУ!R18</f>
        <v>-22821.007684245746</v>
      </c>
      <c r="T9" s="25">
        <f>ОПУ!S18</f>
        <v>-22830.263285598438</v>
      </c>
      <c r="U9" s="25">
        <f>ОПУ!T18</f>
        <v>-22839.711711979304</v>
      </c>
      <c r="V9" s="25">
        <f>ОПУ!U18</f>
        <v>-22849.356980576442</v>
      </c>
      <c r="W9" s="25">
        <f>ОПУ!V18</f>
        <v>-22859.203192269371</v>
      </c>
      <c r="X9" s="25">
        <f>ОПУ!W18</f>
        <v>-22869.254533372557</v>
      </c>
      <c r="Y9" s="25">
        <f>ОПУ!X18</f>
        <v>-22879.515277415368</v>
      </c>
      <c r="Z9" s="25">
        <f>ОПУ!Y18</f>
        <v>-22889.989786959108</v>
      </c>
      <c r="AA9" s="25">
        <f>ОПУ!Z18</f>
        <v>-22900.682515451655</v>
      </c>
      <c r="AB9" s="25">
        <f>ОПУ!AA18</f>
        <v>-22911.598009121139</v>
      </c>
      <c r="AC9" s="25">
        <f>ОПУ!AB18</f>
        <v>-22922.740908908745</v>
      </c>
      <c r="AD9" s="25">
        <f>ОПУ!AC18</f>
        <v>-22934.115952441876</v>
      </c>
      <c r="AE9" s="25">
        <f>ОПУ!AD18</f>
        <v>-24184.857467060392</v>
      </c>
      <c r="AF9" s="25">
        <f>ОПУ!AE18</f>
        <v>-24196.711407825642</v>
      </c>
      <c r="AG9" s="25">
        <f>ОПУ!AF18</f>
        <v>-24208.812305690175</v>
      </c>
      <c r="AH9" s="25">
        <f>ОПУ!AG18</f>
        <v>-24221.165305593546</v>
      </c>
      <c r="AI9" s="25">
        <f>ОПУ!AH18</f>
        <v>-24233.775659661565</v>
      </c>
      <c r="AJ9" s="25">
        <f>ОПУ!AI18</f>
        <v>-24246.648729439345</v>
      </c>
      <c r="AK9" s="25">
        <f>ОПУ!AJ18</f>
        <v>-24259.789988170814</v>
      </c>
      <c r="AL9" s="25">
        <f>ОПУ!AK18</f>
        <v>-24273.205023125891</v>
      </c>
      <c r="AM9" s="25">
        <f>ОПУ!AL18</f>
        <v>-24286.899537975842</v>
      </c>
      <c r="AN9" s="25">
        <f>ОПУ!AM18</f>
        <v>-24300.879355218494</v>
      </c>
      <c r="AO9" s="25">
        <f>ОПУ!AN18</f>
        <v>-24315.150418653677</v>
      </c>
      <c r="AP9" s="25">
        <f>ОПУ!AO18</f>
        <v>-24329.718795910478</v>
      </c>
      <c r="AQ9" s="25">
        <f>ОПУ!AP18</f>
        <v>-25647.336596154804</v>
      </c>
      <c r="AR9" s="25">
        <f>ОПУ!AQ18</f>
        <v>-25662.518312211025</v>
      </c>
      <c r="AS9" s="25">
        <f>ОПУ!AR18</f>
        <v>-25678.016314018416</v>
      </c>
      <c r="AT9" s="25">
        <f>ОПУ!AS18</f>
        <v>-25693.837190863458</v>
      </c>
      <c r="AU9" s="25">
        <f>ОПУ!AT18</f>
        <v>-25709.987669309441</v>
      </c>
      <c r="AV9" s="25">
        <f>ОПУ!AU18</f>
        <v>-25726.474616056366</v>
      </c>
      <c r="AW9" s="25">
        <f>ОПУ!AV18</f>
        <v>-25743.305040860549</v>
      </c>
      <c r="AX9" s="25">
        <f>ОПУ!AW18</f>
        <v>-25760.48609951479</v>
      </c>
      <c r="AY9" s="25">
        <f>ОПУ!AX18</f>
        <v>-25778.025096891011</v>
      </c>
      <c r="AZ9" s="25">
        <f>ОПУ!AY18</f>
        <v>-25795.929490045906</v>
      </c>
      <c r="BA9" s="25">
        <f>ОПУ!AZ18</f>
        <v>-25814.206891391514</v>
      </c>
      <c r="BB9" s="25">
        <f>ОПУ!BA18</f>
        <v>-25832.865071931854</v>
      </c>
      <c r="BC9" s="25">
        <f>ОПУ!BB18</f>
        <v>-27221.504923503824</v>
      </c>
      <c r="BD9" s="25">
        <f>ОПУ!BC18</f>
        <v>-27240.948626401958</v>
      </c>
      <c r="BE9" s="25">
        <f>ОПУ!BD18</f>
        <v>-27260.797406443802</v>
      </c>
      <c r="BF9" s="25">
        <f>ОПУ!BE18</f>
        <v>-27281.059702736515</v>
      </c>
      <c r="BG9" s="25">
        <f>ОПУ!BF18</f>
        <v>-27301.744130201987</v>
      </c>
      <c r="BH9" s="25">
        <f>ОПУ!BG18</f>
        <v>-27322.859483239678</v>
      </c>
      <c r="BI9" s="25">
        <f>ОПУ!BH18</f>
        <v>-27344.414739465632</v>
      </c>
      <c r="BJ9" s="25">
        <f>ОПУ!BI18</f>
        <v>-73513.303767631267</v>
      </c>
      <c r="BL9" s="25">
        <f t="shared" si="17"/>
        <v>0</v>
      </c>
      <c r="BM9" s="25">
        <f t="shared" si="17"/>
        <v>-188580.42525622924</v>
      </c>
      <c r="BN9" s="25">
        <f t="shared" si="17"/>
        <v>-274507.43983833975</v>
      </c>
      <c r="BO9" s="25">
        <f t="shared" si="17"/>
        <v>-291057.61399432586</v>
      </c>
      <c r="BP9" s="25">
        <f t="shared" si="17"/>
        <v>-308842.98838924913</v>
      </c>
      <c r="BQ9" s="25">
        <f t="shared" si="17"/>
        <v>-264486.63277962466</v>
      </c>
      <c r="BS9" s="46">
        <f t="shared" ref="BS9:BS20" si="18">SUM(BL9:BQ9)</f>
        <v>-1327475.1002577688</v>
      </c>
    </row>
    <row r="10" spans="1:121">
      <c r="A10" s="204" t="s">
        <v>211</v>
      </c>
      <c r="B10" s="69" t="s">
        <v>256</v>
      </c>
      <c r="C10" s="194">
        <f>-СОК!C16</f>
        <v>872.34289999999987</v>
      </c>
      <c r="D10" s="194">
        <f>-СОК!D16</f>
        <v>-28.140093548387085</v>
      </c>
      <c r="E10" s="194">
        <f>-СОК!E16</f>
        <v>19592.86231577061</v>
      </c>
      <c r="F10" s="194">
        <f>-СОК!F16</f>
        <v>-2684.661460259842</v>
      </c>
      <c r="G10" s="194">
        <f>-СОК!G16</f>
        <v>-7185.022254731186</v>
      </c>
      <c r="H10" s="194">
        <f>-СОК!H16</f>
        <v>-7689.0930635109689</v>
      </c>
      <c r="I10" s="194">
        <f>-СОК!I16</f>
        <v>-8246.1811300373811</v>
      </c>
      <c r="J10" s="194">
        <f>-СОК!J16</f>
        <v>-12021.223904380575</v>
      </c>
      <c r="K10" s="194">
        <f>-СОК!K16</f>
        <v>24483.960322397616</v>
      </c>
      <c r="L10" s="194">
        <f>-СОК!L16</f>
        <v>244.3429125076218</v>
      </c>
      <c r="M10" s="194">
        <f>-СОК!M16</f>
        <v>-228.99476524806232</v>
      </c>
      <c r="N10" s="194">
        <f>-СОК!N16</f>
        <v>7.9147125365561806</v>
      </c>
      <c r="O10" s="194">
        <f>-СОК!O16</f>
        <v>245.61913884364185</v>
      </c>
      <c r="P10" s="194">
        <f>-СОК!P16</f>
        <v>-229.29160903193406</v>
      </c>
      <c r="Q10" s="194">
        <f>-СОК!Q16</f>
        <v>246.51488527082256</v>
      </c>
      <c r="R10" s="194">
        <f>-СОК!R16</f>
        <v>-229.49995511540328</v>
      </c>
      <c r="S10" s="194">
        <f>-СОК!S16</f>
        <v>353.45432489764062</v>
      </c>
      <c r="T10" s="194">
        <f>-СОК!T16</f>
        <v>814.01349534510518</v>
      </c>
      <c r="U10" s="194">
        <f>-СОК!U16</f>
        <v>-795.91282334487187</v>
      </c>
      <c r="V10" s="194">
        <f>-СОК!V16</f>
        <v>260.41206687584054</v>
      </c>
      <c r="W10" s="194">
        <f>-СОК!W16</f>
        <v>-241.54934401449282</v>
      </c>
      <c r="X10" s="194">
        <f>-СОК!X16</f>
        <v>261.44689681060845</v>
      </c>
      <c r="Y10" s="194">
        <f>-СОК!Y16</f>
        <v>-241.79004021768924</v>
      </c>
      <c r="Z10" s="194">
        <f>-СОК!Z16</f>
        <v>10.136622139078099</v>
      </c>
      <c r="AA10" s="194">
        <f>-СОК!AA16</f>
        <v>263.08140015768004</v>
      </c>
      <c r="AB10" s="194">
        <f>-СОК!AB16</f>
        <v>-242.17021742023644</v>
      </c>
      <c r="AC10" s="194">
        <f>-СОК!AC16</f>
        <v>264.22861087735509</v>
      </c>
      <c r="AD10" s="194">
        <f>-СОК!AD16</f>
        <v>-242.43705282500014</v>
      </c>
      <c r="AE10" s="194">
        <f>-СОК!AE16</f>
        <v>371.53740936290706</v>
      </c>
      <c r="AF10" s="194">
        <f>-СОК!AF16</f>
        <v>563.01444217836251</v>
      </c>
      <c r="AG10" s="194">
        <f>-СОК!AG16</f>
        <v>-539.83234027857543</v>
      </c>
      <c r="AH10" s="194">
        <f>-СОК!AH16</f>
        <v>28272.624288303632</v>
      </c>
      <c r="AI10" s="194">
        <f>-СОК!AI16</f>
        <v>-1158.1740667183767</v>
      </c>
      <c r="AJ10" s="194">
        <f>-СОК!AJ16</f>
        <v>1183.6574905641901</v>
      </c>
      <c r="AK10" s="194">
        <f>-СОК!AK16</f>
        <v>-1940.4178178133152</v>
      </c>
      <c r="AL10" s="194">
        <f>-СОК!AL16</f>
        <v>-847.14674036603537</v>
      </c>
      <c r="AM10" s="194">
        <f>-СОК!AM16</f>
        <v>282.61536671585054</v>
      </c>
      <c r="AN10" s="194">
        <f>-СОК!AN16</f>
        <v>-1897.8982711423596</v>
      </c>
      <c r="AO10" s="194">
        <f>-СОК!AO16</f>
        <v>229.34915182017721</v>
      </c>
      <c r="AP10" s="194">
        <f>-СОК!AP16</f>
        <v>-1022.4722737311968</v>
      </c>
      <c r="AQ10" s="194">
        <f>-СОК!AQ16</f>
        <v>1745.5591703395476</v>
      </c>
      <c r="AR10" s="194">
        <f>-СОК!AR16</f>
        <v>3536.635270772269</v>
      </c>
      <c r="AS10" s="194">
        <f>-СОК!AS16</f>
        <v>-3506.945221226837</v>
      </c>
      <c r="AT10" s="194">
        <f>-СОК!AT16</f>
        <v>1112.0365018291632</v>
      </c>
      <c r="AU10" s="194">
        <f>-СОК!AU16</f>
        <v>-1081.0964805797848</v>
      </c>
      <c r="AV10" s="194">
        <f>-СОК!AV16</f>
        <v>1113.7339057727077</v>
      </c>
      <c r="AW10" s="194">
        <f>-СОК!AW16</f>
        <v>-1081.491288142628</v>
      </c>
      <c r="AX10" s="194">
        <f>-СОК!AX16</f>
        <v>-188.63123356038705</v>
      </c>
      <c r="AY10" s="194">
        <f>-СОК!AY16</f>
        <v>1109.5730025376542</v>
      </c>
      <c r="AZ10" s="194">
        <f>-СОК!AZ16</f>
        <v>-1075.2729471849452</v>
      </c>
      <c r="BA10" s="194">
        <f>-СОК!BA16</f>
        <v>1111.4547416854475</v>
      </c>
      <c r="BB10" s="194">
        <f>-СОК!BB16</f>
        <v>-1075.7106301829335</v>
      </c>
      <c r="BC10" s="194">
        <f>-СОК!BC16</f>
        <v>1834.4454259781633</v>
      </c>
      <c r="BD10" s="194">
        <f>-СОК!BD16</f>
        <v>3734.9942974991282</v>
      </c>
      <c r="BE10" s="194">
        <f>-СОК!BE16</f>
        <v>-3696.9693140088057</v>
      </c>
      <c r="BF10" s="194">
        <f>-СОК!BF16</f>
        <v>1177.0467873316666</v>
      </c>
      <c r="BG10" s="194">
        <f>-СОК!BG16</f>
        <v>-1137.4209256301983</v>
      </c>
      <c r="BH10" s="194">
        <f>-СОК!BH16</f>
        <v>1179.2207061333465</v>
      </c>
      <c r="BI10" s="194">
        <f>-СОК!BI16</f>
        <v>-1137.9265681362886</v>
      </c>
      <c r="BJ10" s="194">
        <f>-СОК!BJ16</f>
        <v>-40632.367206613999</v>
      </c>
      <c r="BK10" s="102"/>
      <c r="BL10" s="194">
        <f t="shared" si="17"/>
        <v>17752.40366196238</v>
      </c>
      <c r="BM10" s="194">
        <f t="shared" si="17"/>
        <v>-10600.954710499253</v>
      </c>
      <c r="BN10" s="194">
        <f t="shared" si="17"/>
        <v>462.91393928101752</v>
      </c>
      <c r="BO10" s="194">
        <f t="shared" si="17"/>
        <v>23496.85663889526</v>
      </c>
      <c r="BP10" s="194">
        <f t="shared" si="17"/>
        <v>1719.8447920592735</v>
      </c>
      <c r="BQ10" s="194">
        <f t="shared" si="17"/>
        <v>-38678.976797446987</v>
      </c>
      <c r="BR10" s="102"/>
      <c r="BS10" s="46">
        <f t="shared" si="18"/>
        <v>-5847.9124757483078</v>
      </c>
      <c r="BT10" s="102"/>
    </row>
    <row r="11" spans="1:121">
      <c r="A11" s="68" t="s">
        <v>36</v>
      </c>
      <c r="B11" s="69" t="s">
        <v>256</v>
      </c>
      <c r="C11" s="25">
        <f>-Капвложения!B17</f>
        <v>-108068.07916666668</v>
      </c>
      <c r="D11" s="25">
        <f>-Капвложения!C17</f>
        <v>-20340.8475</v>
      </c>
      <c r="E11" s="25">
        <f>-Капвложения!D17</f>
        <v>-13560.565000000001</v>
      </c>
      <c r="F11" s="25">
        <f>-Капвложения!E17</f>
        <v>0</v>
      </c>
      <c r="G11" s="25">
        <f>-Капвложения!F17</f>
        <v>0</v>
      </c>
      <c r="H11" s="25">
        <f>-Капвложения!G17</f>
        <v>0</v>
      </c>
      <c r="I11" s="25">
        <f>-Капвложения!H17</f>
        <v>0</v>
      </c>
      <c r="J11" s="25">
        <f>-Капвложения!I17</f>
        <v>0</v>
      </c>
      <c r="K11" s="25">
        <f>-Капвложения!J17</f>
        <v>0</v>
      </c>
      <c r="L11" s="25">
        <f>-Капвложения!K17</f>
        <v>0</v>
      </c>
      <c r="M11" s="25">
        <f>-Капвложения!L17</f>
        <v>0</v>
      </c>
      <c r="N11" s="25">
        <f>-Капвложения!M17</f>
        <v>0</v>
      </c>
      <c r="O11" s="25">
        <f>-Капвложения!N17</f>
        <v>0</v>
      </c>
      <c r="P11" s="25">
        <f>-Капвложения!O17</f>
        <v>0</v>
      </c>
      <c r="Q11" s="25">
        <f>-Капвложения!P17</f>
        <v>0</v>
      </c>
      <c r="R11" s="25">
        <f>-Капвложения!Q17</f>
        <v>0</v>
      </c>
      <c r="S11" s="25">
        <f>-Капвложения!R17</f>
        <v>0</v>
      </c>
      <c r="T11" s="25">
        <f>-Капвложения!S17</f>
        <v>0</v>
      </c>
      <c r="U11" s="25">
        <f>-Капвложения!T17</f>
        <v>0</v>
      </c>
      <c r="V11" s="25">
        <f>-Капвложения!U17</f>
        <v>0</v>
      </c>
      <c r="W11" s="25">
        <f>-Капвложения!V17</f>
        <v>0</v>
      </c>
      <c r="X11" s="25">
        <f>-Капвложения!W17</f>
        <v>0</v>
      </c>
      <c r="Y11" s="25">
        <f>-Капвложения!X17</f>
        <v>0</v>
      </c>
      <c r="Z11" s="25">
        <f>-Капвложения!Y17</f>
        <v>0</v>
      </c>
      <c r="AA11" s="25">
        <f>-Капвложения!Z17</f>
        <v>0</v>
      </c>
      <c r="AB11" s="25">
        <f>-Капвложения!AA17</f>
        <v>0</v>
      </c>
      <c r="AC11" s="25">
        <f>-Капвложения!AB17</f>
        <v>0</v>
      </c>
      <c r="AD11" s="25">
        <f>-Капвложения!AC17</f>
        <v>0</v>
      </c>
      <c r="AE11" s="25">
        <f>-Капвложения!AD17</f>
        <v>0</v>
      </c>
      <c r="AF11" s="25">
        <f>-Капвложения!AE17</f>
        <v>0</v>
      </c>
      <c r="AG11" s="25">
        <f>-Капвложения!AF17</f>
        <v>0</v>
      </c>
      <c r="AH11" s="25">
        <f>-Капвложения!AG17</f>
        <v>0</v>
      </c>
      <c r="AI11" s="25">
        <f>-Капвложения!AH17</f>
        <v>0</v>
      </c>
      <c r="AJ11" s="25">
        <f>-Капвложения!AI17</f>
        <v>0</v>
      </c>
      <c r="AK11" s="25">
        <f>-Капвложения!AJ17</f>
        <v>0</v>
      </c>
      <c r="AL11" s="25">
        <f>-Капвложения!AK17</f>
        <v>0</v>
      </c>
      <c r="AM11" s="25">
        <f>-Капвложения!AL17</f>
        <v>0</v>
      </c>
      <c r="AN11" s="25">
        <f>-Капвложения!AM17</f>
        <v>0</v>
      </c>
      <c r="AO11" s="25">
        <f>-Капвложения!AN17</f>
        <v>0</v>
      </c>
      <c r="AP11" s="25">
        <f>-Капвложения!AO17</f>
        <v>0</v>
      </c>
      <c r="AQ11" s="25">
        <f>-Капвложения!AP17</f>
        <v>0</v>
      </c>
      <c r="AR11" s="25">
        <f>-Капвложения!AQ17</f>
        <v>0</v>
      </c>
      <c r="AS11" s="25">
        <f>-Капвложения!AR17</f>
        <v>0</v>
      </c>
      <c r="AT11" s="25">
        <f>-Капвложения!AS17</f>
        <v>0</v>
      </c>
      <c r="AU11" s="25">
        <f>-Капвложения!AT17</f>
        <v>0</v>
      </c>
      <c r="AV11" s="25">
        <f>-Капвложения!AU17</f>
        <v>0</v>
      </c>
      <c r="AW11" s="25">
        <f>-Капвложения!AV17</f>
        <v>0</v>
      </c>
      <c r="AX11" s="25">
        <f>-Капвложения!AW17</f>
        <v>0</v>
      </c>
      <c r="AY11" s="25">
        <f>-Капвложения!AX17</f>
        <v>0</v>
      </c>
      <c r="AZ11" s="25">
        <f>-Капвложения!AY17</f>
        <v>0</v>
      </c>
      <c r="BA11" s="25">
        <f>-Капвложения!AZ17</f>
        <v>0</v>
      </c>
      <c r="BB11" s="25">
        <f>-Капвложения!BA17</f>
        <v>0</v>
      </c>
      <c r="BC11" s="25">
        <f>-Капвложения!BB17</f>
        <v>0</v>
      </c>
      <c r="BD11" s="25">
        <f>-Капвложения!BC17</f>
        <v>0</v>
      </c>
      <c r="BE11" s="25">
        <f>-Капвложения!BD17</f>
        <v>0</v>
      </c>
      <c r="BF11" s="25">
        <f>-Капвложения!BE17</f>
        <v>0</v>
      </c>
      <c r="BG11" s="25">
        <f>-Капвложения!BF17</f>
        <v>0</v>
      </c>
      <c r="BH11" s="25">
        <f>-Капвложения!BG17</f>
        <v>0</v>
      </c>
      <c r="BI11" s="25">
        <f>-Капвложения!BH17</f>
        <v>0</v>
      </c>
      <c r="BJ11" s="25">
        <f>-Капвложения!BI17</f>
        <v>0</v>
      </c>
      <c r="BL11" s="25">
        <f t="shared" si="17"/>
        <v>-141969.49166666667</v>
      </c>
      <c r="BM11" s="25">
        <f t="shared" si="17"/>
        <v>0</v>
      </c>
      <c r="BN11" s="25">
        <f t="shared" si="17"/>
        <v>0</v>
      </c>
      <c r="BO11" s="25">
        <f t="shared" si="17"/>
        <v>0</v>
      </c>
      <c r="BP11" s="25">
        <f t="shared" si="17"/>
        <v>0</v>
      </c>
      <c r="BQ11" s="25">
        <f t="shared" si="17"/>
        <v>0</v>
      </c>
      <c r="BS11" s="46">
        <f t="shared" si="18"/>
        <v>-141969.49166666667</v>
      </c>
    </row>
    <row r="12" spans="1:121">
      <c r="A12" s="68" t="s">
        <v>96</v>
      </c>
      <c r="B12" s="69" t="s">
        <v>256</v>
      </c>
      <c r="C12" s="25">
        <f>Налоги!D9</f>
        <v>0</v>
      </c>
      <c r="D12" s="25">
        <f>Налоги!E9</f>
        <v>0</v>
      </c>
      <c r="E12" s="25">
        <f>Налоги!F9</f>
        <v>0</v>
      </c>
      <c r="F12" s="25">
        <f>Налоги!G9</f>
        <v>9672.6666666666679</v>
      </c>
      <c r="G12" s="25">
        <f>Налоги!H9</f>
        <v>20312.600000000002</v>
      </c>
      <c r="H12" s="25">
        <f>Налоги!I9</f>
        <v>30468.900000000009</v>
      </c>
      <c r="I12" s="25">
        <f>Налоги!J9</f>
        <v>40625.200000000004</v>
      </c>
      <c r="J12" s="25">
        <f>Налоги!K9</f>
        <v>50781.500000000007</v>
      </c>
      <c r="K12" s="25">
        <f>Налоги!L9</f>
        <v>50781.500000000007</v>
      </c>
      <c r="L12" s="25">
        <f>Налоги!M9</f>
        <v>50781.500000000007</v>
      </c>
      <c r="M12" s="25">
        <f>Налоги!N9</f>
        <v>50781.500000000007</v>
      </c>
      <c r="N12" s="25">
        <f>Налоги!O9</f>
        <v>50781.500000000007</v>
      </c>
      <c r="O12" s="25">
        <f>Налоги!P9</f>
        <v>50781.500000000007</v>
      </c>
      <c r="P12" s="25">
        <f>Налоги!Q9</f>
        <v>50781.500000000007</v>
      </c>
      <c r="Q12" s="25">
        <f>Налоги!R9</f>
        <v>50781.500000000007</v>
      </c>
      <c r="R12" s="25">
        <f>Налоги!S9</f>
        <v>50781.500000000007</v>
      </c>
      <c r="S12" s="25">
        <f>Налоги!T9</f>
        <v>53320.575000000012</v>
      </c>
      <c r="T12" s="25">
        <f>Налоги!U9</f>
        <v>53320.575000000012</v>
      </c>
      <c r="U12" s="25">
        <f>Налоги!V9</f>
        <v>53320.575000000012</v>
      </c>
      <c r="V12" s="25">
        <f>Налоги!W9</f>
        <v>53320.575000000012</v>
      </c>
      <c r="W12" s="25">
        <f>Налоги!X9</f>
        <v>53320.575000000012</v>
      </c>
      <c r="X12" s="25">
        <f>Налоги!Y9</f>
        <v>53320.575000000012</v>
      </c>
      <c r="Y12" s="25">
        <f>Налоги!Z9</f>
        <v>53320.575000000012</v>
      </c>
      <c r="Z12" s="25">
        <f>Налоги!AA9</f>
        <v>53320.575000000012</v>
      </c>
      <c r="AA12" s="25">
        <f>Налоги!AB9</f>
        <v>53320.575000000012</v>
      </c>
      <c r="AB12" s="25">
        <f>Налоги!AC9</f>
        <v>53320.575000000012</v>
      </c>
      <c r="AC12" s="25">
        <f>Налоги!AD9</f>
        <v>53320.575000000012</v>
      </c>
      <c r="AD12" s="25">
        <f>Налоги!AE9</f>
        <v>53320.575000000012</v>
      </c>
      <c r="AE12" s="25">
        <f>Налоги!AF9</f>
        <v>55986.603750000009</v>
      </c>
      <c r="AF12" s="25">
        <f>Налоги!AG9</f>
        <v>55986.603750000009</v>
      </c>
      <c r="AG12" s="25">
        <f>Налоги!AH9</f>
        <v>55986.603750000009</v>
      </c>
      <c r="AH12" s="25">
        <f>Налоги!AI9</f>
        <v>55986.603750000009</v>
      </c>
      <c r="AI12" s="25">
        <f>Налоги!AJ9</f>
        <v>55986.603750000009</v>
      </c>
      <c r="AJ12" s="25">
        <f>Налоги!AK9</f>
        <v>55986.603750000009</v>
      </c>
      <c r="AK12" s="25">
        <f>Налоги!AL9</f>
        <v>55986.603750000009</v>
      </c>
      <c r="AL12" s="25">
        <f>Налоги!AM9</f>
        <v>55986.603750000009</v>
      </c>
      <c r="AM12" s="25">
        <f>Налоги!AN9</f>
        <v>55986.603750000009</v>
      </c>
      <c r="AN12" s="25">
        <f>Налоги!AO9</f>
        <v>55986.603750000009</v>
      </c>
      <c r="AO12" s="25">
        <f>Налоги!AP9</f>
        <v>55986.603750000009</v>
      </c>
      <c r="AP12" s="25">
        <f>Налоги!AQ9</f>
        <v>55986.603750000009</v>
      </c>
      <c r="AQ12" s="25">
        <f>Налоги!AR9</f>
        <v>58785.933937500027</v>
      </c>
      <c r="AR12" s="25">
        <f>Налоги!AS9</f>
        <v>58785.933937500027</v>
      </c>
      <c r="AS12" s="25">
        <f>Налоги!AT9</f>
        <v>58785.933937500027</v>
      </c>
      <c r="AT12" s="25">
        <f>Налоги!AU9</f>
        <v>58785.933937500027</v>
      </c>
      <c r="AU12" s="25">
        <f>Налоги!AV9</f>
        <v>58785.933937500027</v>
      </c>
      <c r="AV12" s="25">
        <f>Налоги!AW9</f>
        <v>58785.933937500027</v>
      </c>
      <c r="AW12" s="25">
        <f>Налоги!AX9</f>
        <v>58785.933937500027</v>
      </c>
      <c r="AX12" s="25">
        <f>Налоги!AY9</f>
        <v>58785.933937500027</v>
      </c>
      <c r="AY12" s="25">
        <f>Налоги!AZ9</f>
        <v>58785.933937500027</v>
      </c>
      <c r="AZ12" s="25">
        <f>Налоги!BA9</f>
        <v>58785.933937500027</v>
      </c>
      <c r="BA12" s="25">
        <f>Налоги!BB9</f>
        <v>58785.933937500027</v>
      </c>
      <c r="BB12" s="25">
        <f>Налоги!BC9</f>
        <v>58785.933937500027</v>
      </c>
      <c r="BC12" s="25">
        <f>Налоги!BD9</f>
        <v>61725.230634375039</v>
      </c>
      <c r="BD12" s="25">
        <f>Налоги!BE9</f>
        <v>61725.230634375039</v>
      </c>
      <c r="BE12" s="25">
        <f>Налоги!BF9</f>
        <v>61725.230634375039</v>
      </c>
      <c r="BF12" s="25">
        <f>Налоги!BG9</f>
        <v>61725.230634375039</v>
      </c>
      <c r="BG12" s="25">
        <f>Налоги!BH9</f>
        <v>61725.230634375039</v>
      </c>
      <c r="BH12" s="25">
        <f>Налоги!BI9</f>
        <v>61725.230634375039</v>
      </c>
      <c r="BI12" s="25">
        <f>Налоги!BJ9</f>
        <v>61725.230634375039</v>
      </c>
      <c r="BJ12" s="25">
        <f>Налоги!BK9</f>
        <v>61725.230634375039</v>
      </c>
      <c r="BL12" s="25">
        <f t="shared" si="17"/>
        <v>9672.6666666666679</v>
      </c>
      <c r="BM12" s="25">
        <f t="shared" si="17"/>
        <v>548440.20000000007</v>
      </c>
      <c r="BN12" s="25">
        <f t="shared" si="17"/>
        <v>639846.90000000014</v>
      </c>
      <c r="BO12" s="25">
        <f t="shared" si="17"/>
        <v>671839.24500000011</v>
      </c>
      <c r="BP12" s="25">
        <f t="shared" si="17"/>
        <v>705431.20725000009</v>
      </c>
      <c r="BQ12" s="25">
        <f t="shared" si="17"/>
        <v>493801.84507500019</v>
      </c>
      <c r="BS12" s="46">
        <f t="shared" si="18"/>
        <v>3069032.0639916672</v>
      </c>
    </row>
    <row r="13" spans="1:121">
      <c r="A13" s="68" t="s">
        <v>117</v>
      </c>
      <c r="B13" s="69" t="s">
        <v>256</v>
      </c>
      <c r="C13" s="25">
        <f>-Налоги!D14</f>
        <v>-21623.491413333337</v>
      </c>
      <c r="D13" s="25">
        <f>-Налоги!E14</f>
        <v>-4078.0450799999999</v>
      </c>
      <c r="E13" s="25">
        <f>-Налоги!F14</f>
        <v>-8507.1552466666672</v>
      </c>
      <c r="F13" s="25">
        <f>-Налоги!G14</f>
        <v>-11885.892979027783</v>
      </c>
      <c r="G13" s="25">
        <f>-Налоги!H14</f>
        <v>-18553.166044161113</v>
      </c>
      <c r="H13" s="25">
        <f>-Налоги!I14</f>
        <v>-24627.591044161112</v>
      </c>
      <c r="I13" s="25">
        <f>-Налоги!J14</f>
        <v>-30702.016044161122</v>
      </c>
      <c r="J13" s="25">
        <f>-Налоги!K14</f>
        <v>-30702.016044161122</v>
      </c>
      <c r="K13" s="25">
        <f>-Налоги!L14</f>
        <v>-30702.016044161122</v>
      </c>
      <c r="L13" s="25">
        <f>-Налоги!M14</f>
        <v>-30702.016044161122</v>
      </c>
      <c r="M13" s="25">
        <f>-Налоги!N14</f>
        <v>-30702.016044161122</v>
      </c>
      <c r="N13" s="25">
        <f>-Налоги!O14</f>
        <v>-30702.016044161122</v>
      </c>
      <c r="O13" s="25">
        <f>-Налоги!P14</f>
        <v>-30702.016044161122</v>
      </c>
      <c r="P13" s="25">
        <f>-Налоги!Q14</f>
        <v>-30702.016044161122</v>
      </c>
      <c r="Q13" s="25">
        <f>-Налоги!R14</f>
        <v>-30702.016044161122</v>
      </c>
      <c r="R13" s="25">
        <f>-Налоги!S14</f>
        <v>-30702.016044161122</v>
      </c>
      <c r="S13" s="25">
        <f>-Налоги!T14</f>
        <v>-32235.63380441512</v>
      </c>
      <c r="T13" s="25">
        <f>-Налоги!U14</f>
        <v>-32235.63380441512</v>
      </c>
      <c r="U13" s="25">
        <f>-Налоги!V14</f>
        <v>-32235.63380441512</v>
      </c>
      <c r="V13" s="25">
        <f>-Налоги!W14</f>
        <v>-32235.63380441512</v>
      </c>
      <c r="W13" s="25">
        <f>-Налоги!X14</f>
        <v>-32235.63380441512</v>
      </c>
      <c r="X13" s="25">
        <f>-Налоги!Y14</f>
        <v>-32235.63380441512</v>
      </c>
      <c r="Y13" s="25">
        <f>-Налоги!Z14</f>
        <v>-32235.63380441512</v>
      </c>
      <c r="Z13" s="25">
        <f>-Налоги!AA14</f>
        <v>-32235.63380441512</v>
      </c>
      <c r="AA13" s="25">
        <f>-Налоги!AB14</f>
        <v>-32235.63380441512</v>
      </c>
      <c r="AB13" s="25">
        <f>-Налоги!AC14</f>
        <v>-32235.63380441512</v>
      </c>
      <c r="AC13" s="25">
        <f>-Налоги!AD14</f>
        <v>-32235.63380441512</v>
      </c>
      <c r="AD13" s="25">
        <f>-Налоги!AE14</f>
        <v>-32235.63380441512</v>
      </c>
      <c r="AE13" s="25">
        <f>-Налоги!AF14</f>
        <v>-33845.894900801737</v>
      </c>
      <c r="AF13" s="25">
        <f>-Налоги!AG14</f>
        <v>-33845.894900801737</v>
      </c>
      <c r="AG13" s="25">
        <f>-Налоги!AH14</f>
        <v>-33845.894900801737</v>
      </c>
      <c r="AH13" s="25">
        <f>-Налоги!AI14</f>
        <v>-33845.894900801737</v>
      </c>
      <c r="AI13" s="25">
        <f>-Налоги!AJ14</f>
        <v>-33845.894900801737</v>
      </c>
      <c r="AJ13" s="25">
        <f>-Налоги!AK14</f>
        <v>-33845.894900801737</v>
      </c>
      <c r="AK13" s="25">
        <f>-Налоги!AL14</f>
        <v>-33845.894900801737</v>
      </c>
      <c r="AL13" s="25">
        <f>-Налоги!AM14</f>
        <v>-33845.894900801737</v>
      </c>
      <c r="AM13" s="25">
        <f>-Налоги!AN14</f>
        <v>-33845.894900801737</v>
      </c>
      <c r="AN13" s="25">
        <f>-Налоги!AO14</f>
        <v>-33845.894900801737</v>
      </c>
      <c r="AO13" s="25">
        <f>-Налоги!AP14</f>
        <v>-33845.894900801737</v>
      </c>
      <c r="AP13" s="25">
        <f>-Налоги!AQ14</f>
        <v>-33845.894900801737</v>
      </c>
      <c r="AQ13" s="25">
        <f>-Налоги!AR14</f>
        <v>-35536.630373571206</v>
      </c>
      <c r="AR13" s="25">
        <f>-Налоги!AS14</f>
        <v>-35536.630373571206</v>
      </c>
      <c r="AS13" s="25">
        <f>-Налоги!AT14</f>
        <v>-35536.630373571206</v>
      </c>
      <c r="AT13" s="25">
        <f>-Налоги!AU14</f>
        <v>-35536.630373571206</v>
      </c>
      <c r="AU13" s="25">
        <f>-Налоги!AV14</f>
        <v>-35536.630373571206</v>
      </c>
      <c r="AV13" s="25">
        <f>-Налоги!AW14</f>
        <v>-35536.630373571206</v>
      </c>
      <c r="AW13" s="25">
        <f>-Налоги!AX14</f>
        <v>-35536.630373571206</v>
      </c>
      <c r="AX13" s="25">
        <f>-Налоги!AY14</f>
        <v>-35536.630373571206</v>
      </c>
      <c r="AY13" s="25">
        <f>-Налоги!AZ14</f>
        <v>-35536.630373571206</v>
      </c>
      <c r="AZ13" s="25">
        <f>-Налоги!BA14</f>
        <v>-35536.630373571206</v>
      </c>
      <c r="BA13" s="25">
        <f>-Налоги!BB14</f>
        <v>-35536.630373571206</v>
      </c>
      <c r="BB13" s="25">
        <f>-Налоги!BC14</f>
        <v>-35536.630373571206</v>
      </c>
      <c r="BC13" s="25">
        <f>-Налоги!BD14</f>
        <v>-37311.862781189593</v>
      </c>
      <c r="BD13" s="25">
        <f>-Налоги!BE14</f>
        <v>-37311.862781189593</v>
      </c>
      <c r="BE13" s="25">
        <f>-Налоги!BF14</f>
        <v>-37311.862781189593</v>
      </c>
      <c r="BF13" s="25">
        <f>-Налоги!BG14</f>
        <v>-37311.862781189593</v>
      </c>
      <c r="BG13" s="25">
        <f>-Налоги!BH14</f>
        <v>-37311.862781189593</v>
      </c>
      <c r="BH13" s="25">
        <f>-Налоги!BI14</f>
        <v>-37311.862781189593</v>
      </c>
      <c r="BI13" s="25">
        <f>-Налоги!BJ14</f>
        <v>-37311.862781189593</v>
      </c>
      <c r="BJ13" s="25">
        <f>-Налоги!BK14</f>
        <v>-394.35501790831478</v>
      </c>
      <c r="BL13" s="25">
        <f t="shared" si="17"/>
        <v>-46094.584719027785</v>
      </c>
      <c r="BM13" s="25">
        <f t="shared" si="17"/>
        <v>-350200.91752993333</v>
      </c>
      <c r="BN13" s="25">
        <f t="shared" si="17"/>
        <v>-386827.60565298144</v>
      </c>
      <c r="BO13" s="25">
        <f t="shared" si="17"/>
        <v>-406150.73880962073</v>
      </c>
      <c r="BP13" s="25">
        <f t="shared" si="17"/>
        <v>-426439.56448285439</v>
      </c>
      <c r="BQ13" s="25">
        <f t="shared" si="17"/>
        <v>-261577.39448623545</v>
      </c>
      <c r="BS13" s="46">
        <f t="shared" si="18"/>
        <v>-1877290.8056806533</v>
      </c>
    </row>
    <row r="14" spans="1:121">
      <c r="A14" s="68" t="s">
        <v>118</v>
      </c>
      <c r="B14" s="69" t="s">
        <v>256</v>
      </c>
      <c r="C14" s="25">
        <f>Налоги!D21</f>
        <v>0</v>
      </c>
      <c r="D14" s="25">
        <f>Налоги!E21</f>
        <v>0</v>
      </c>
      <c r="E14" s="25">
        <f>Налоги!F21</f>
        <v>0</v>
      </c>
      <c r="F14" s="25">
        <f>Налоги!G21</f>
        <v>0</v>
      </c>
      <c r="G14" s="25">
        <f>Налоги!H21</f>
        <v>0</v>
      </c>
      <c r="H14" s="25">
        <f>Налоги!I21</f>
        <v>0</v>
      </c>
      <c r="I14" s="25">
        <f>Налоги!J21</f>
        <v>0</v>
      </c>
      <c r="J14" s="25">
        <f>Налоги!K21</f>
        <v>-1181.4927709944386</v>
      </c>
      <c r="K14" s="25">
        <f>Налоги!L21</f>
        <v>-20079.483955838885</v>
      </c>
      <c r="L14" s="25">
        <f>Налоги!M21</f>
        <v>-20079.483955838885</v>
      </c>
      <c r="M14" s="25">
        <f>Налоги!N21</f>
        <v>-20079.483955838885</v>
      </c>
      <c r="N14" s="25">
        <f>Налоги!O21</f>
        <v>-20079.483955838885</v>
      </c>
      <c r="O14" s="25">
        <f>Налоги!P21</f>
        <v>-20079.483955838885</v>
      </c>
      <c r="P14" s="25">
        <f>Налоги!Q21</f>
        <v>-20079.483955838885</v>
      </c>
      <c r="Q14" s="25">
        <f>Налоги!R21</f>
        <v>-20079.483955838885</v>
      </c>
      <c r="R14" s="25">
        <f>Налоги!S21</f>
        <v>-20079.483955838885</v>
      </c>
      <c r="S14" s="25">
        <f>Налоги!T21</f>
        <v>-21084.941195584892</v>
      </c>
      <c r="T14" s="25">
        <f>Налоги!U21</f>
        <v>-21084.941195584892</v>
      </c>
      <c r="U14" s="25">
        <f>Налоги!V21</f>
        <v>-21084.941195584892</v>
      </c>
      <c r="V14" s="25">
        <f>Налоги!W21</f>
        <v>-21084.941195584892</v>
      </c>
      <c r="W14" s="25">
        <f>Налоги!X21</f>
        <v>-21084.941195584892</v>
      </c>
      <c r="X14" s="25">
        <f>Налоги!Y21</f>
        <v>-21084.941195584892</v>
      </c>
      <c r="Y14" s="25">
        <f>Налоги!Z21</f>
        <v>-21084.941195584892</v>
      </c>
      <c r="Z14" s="25">
        <f>Налоги!AA21</f>
        <v>-21084.941195584892</v>
      </c>
      <c r="AA14" s="25">
        <f>Налоги!AB21</f>
        <v>-21084.941195584892</v>
      </c>
      <c r="AB14" s="25">
        <f>Налоги!AC21</f>
        <v>-21084.941195584892</v>
      </c>
      <c r="AC14" s="25">
        <f>Налоги!AD21</f>
        <v>-21084.941195584892</v>
      </c>
      <c r="AD14" s="25">
        <f>Налоги!AE21</f>
        <v>-21084.941195584892</v>
      </c>
      <c r="AE14" s="25">
        <f>Налоги!AF21</f>
        <v>-22140.708849198272</v>
      </c>
      <c r="AF14" s="25">
        <f>Налоги!AG21</f>
        <v>-22140.708849198272</v>
      </c>
      <c r="AG14" s="25">
        <f>Налоги!AH21</f>
        <v>-22140.708849198272</v>
      </c>
      <c r="AH14" s="25">
        <f>Налоги!AI21</f>
        <v>-22140.708849198272</v>
      </c>
      <c r="AI14" s="25">
        <f>Налоги!AJ21</f>
        <v>-22140.708849198272</v>
      </c>
      <c r="AJ14" s="25">
        <f>Налоги!AK21</f>
        <v>-22140.708849198272</v>
      </c>
      <c r="AK14" s="25">
        <f>Налоги!AL21</f>
        <v>-22140.708849198272</v>
      </c>
      <c r="AL14" s="25">
        <f>Налоги!AM21</f>
        <v>-22140.708849198272</v>
      </c>
      <c r="AM14" s="25">
        <f>Налоги!AN21</f>
        <v>-22140.708849198272</v>
      </c>
      <c r="AN14" s="25">
        <f>Налоги!AO21</f>
        <v>-22140.708849198272</v>
      </c>
      <c r="AO14" s="25">
        <f>Налоги!AP21</f>
        <v>-22140.708849198272</v>
      </c>
      <c r="AP14" s="25">
        <f>Налоги!AQ21</f>
        <v>-22140.708849198272</v>
      </c>
      <c r="AQ14" s="25">
        <f>Налоги!AR21</f>
        <v>-23249.303563928821</v>
      </c>
      <c r="AR14" s="25">
        <f>Налоги!AS21</f>
        <v>-23249.303563928821</v>
      </c>
      <c r="AS14" s="25">
        <f>Налоги!AT21</f>
        <v>-23249.303563928821</v>
      </c>
      <c r="AT14" s="25">
        <f>Налоги!AU21</f>
        <v>-23249.303563928821</v>
      </c>
      <c r="AU14" s="25">
        <f>Налоги!AV21</f>
        <v>-23249.303563928821</v>
      </c>
      <c r="AV14" s="25">
        <f>Налоги!AW21</f>
        <v>-23249.303563928821</v>
      </c>
      <c r="AW14" s="25">
        <f>Налоги!AX21</f>
        <v>-23249.303563928821</v>
      </c>
      <c r="AX14" s="25">
        <f>Налоги!AY21</f>
        <v>-23249.303563928821</v>
      </c>
      <c r="AY14" s="25">
        <f>Налоги!AZ21</f>
        <v>-23249.303563928821</v>
      </c>
      <c r="AZ14" s="25">
        <f>Налоги!BA21</f>
        <v>-23249.303563928821</v>
      </c>
      <c r="BA14" s="25">
        <f>Налоги!BB21</f>
        <v>-23249.303563928821</v>
      </c>
      <c r="BB14" s="25">
        <f>Налоги!BC21</f>
        <v>-23249.303563928821</v>
      </c>
      <c r="BC14" s="25">
        <f>Налоги!BD21</f>
        <v>-24413.367853185446</v>
      </c>
      <c r="BD14" s="25">
        <f>Налоги!BE21</f>
        <v>-24413.367853185446</v>
      </c>
      <c r="BE14" s="25">
        <f>Налоги!BF21</f>
        <v>-24413.367853185446</v>
      </c>
      <c r="BF14" s="25">
        <f>Налоги!BG21</f>
        <v>-24413.367853185446</v>
      </c>
      <c r="BG14" s="25">
        <f>Налоги!BH21</f>
        <v>-24413.367853185446</v>
      </c>
      <c r="BH14" s="25">
        <f>Налоги!BI21</f>
        <v>-24413.367853185446</v>
      </c>
      <c r="BI14" s="25">
        <f>Налоги!BJ21</f>
        <v>-24413.367853185446</v>
      </c>
      <c r="BJ14" s="25">
        <f>Налоги!BK21</f>
        <v>-61330.875616466721</v>
      </c>
      <c r="BL14" s="25">
        <f t="shared" si="17"/>
        <v>0</v>
      </c>
      <c r="BM14" s="25">
        <f t="shared" si="17"/>
        <v>-161817.36441770554</v>
      </c>
      <c r="BN14" s="25">
        <f t="shared" si="17"/>
        <v>-253019.2943470187</v>
      </c>
      <c r="BO14" s="25">
        <f t="shared" si="17"/>
        <v>-265688.50619037927</v>
      </c>
      <c r="BP14" s="25">
        <f t="shared" si="17"/>
        <v>-278991.64276714582</v>
      </c>
      <c r="BQ14" s="25">
        <f t="shared" si="17"/>
        <v>-232224.45058876486</v>
      </c>
      <c r="BS14" s="46">
        <f t="shared" si="18"/>
        <v>-1191741.2583110142</v>
      </c>
      <c r="BV14" s="172"/>
    </row>
    <row r="15" spans="1:121">
      <c r="A15" s="70" t="s">
        <v>125</v>
      </c>
      <c r="B15" s="71" t="s">
        <v>256</v>
      </c>
      <c r="C15" s="29">
        <f t="shared" ref="C15" si="19">SUM(C8:C14)</f>
        <v>-130514.53558000001</v>
      </c>
      <c r="D15" s="29">
        <f t="shared" ref="D15:BJ15" si="20">SUM(D8:D14)</f>
        <v>-26142.340573548387</v>
      </c>
      <c r="E15" s="29">
        <f t="shared" si="20"/>
        <v>-33095.999164229383</v>
      </c>
      <c r="F15" s="29">
        <f t="shared" si="20"/>
        <v>-26091.279334426497</v>
      </c>
      <c r="G15" s="29">
        <f t="shared" si="20"/>
        <v>-7059.4963196978551</v>
      </c>
      <c r="H15" s="29">
        <f t="shared" si="20"/>
        <v>16927.682871522396</v>
      </c>
      <c r="I15" s="29">
        <f t="shared" si="20"/>
        <v>40861.844804995912</v>
      </c>
      <c r="J15" s="29">
        <f t="shared" si="20"/>
        <v>81090.712842156063</v>
      </c>
      <c r="K15" s="29">
        <f t="shared" si="20"/>
        <v>92875.441958813288</v>
      </c>
      <c r="L15" s="29">
        <f t="shared" si="20"/>
        <v>68627.976424139022</v>
      </c>
      <c r="M15" s="29">
        <f t="shared" si="20"/>
        <v>68146.6271189994</v>
      </c>
      <c r="N15" s="29">
        <f t="shared" si="20"/>
        <v>68375.358060496248</v>
      </c>
      <c r="O15" s="29">
        <f t="shared" si="20"/>
        <v>68604.713564342906</v>
      </c>
      <c r="P15" s="29">
        <f t="shared" si="20"/>
        <v>68121.279958122323</v>
      </c>
      <c r="Q15" s="29">
        <f t="shared" si="20"/>
        <v>68588.386034531199</v>
      </c>
      <c r="R15" s="29">
        <f t="shared" si="20"/>
        <v>68103.489517544949</v>
      </c>
      <c r="S15" s="29">
        <f t="shared" si="20"/>
        <v>72213.142484576369</v>
      </c>
      <c r="T15" s="29">
        <f t="shared" si="20"/>
        <v>72664.446053671141</v>
      </c>
      <c r="U15" s="29">
        <f t="shared" si="20"/>
        <v>71045.071308600309</v>
      </c>
      <c r="V15" s="29">
        <f t="shared" si="20"/>
        <v>72091.750930223876</v>
      </c>
      <c r="W15" s="29">
        <f t="shared" si="20"/>
        <v>71579.943307640613</v>
      </c>
      <c r="X15" s="29">
        <f t="shared" si="20"/>
        <v>72072.888207362528</v>
      </c>
      <c r="Y15" s="29">
        <f t="shared" si="20"/>
        <v>71559.39052629142</v>
      </c>
      <c r="Z15" s="29">
        <f t="shared" si="20"/>
        <v>71800.842679104448</v>
      </c>
      <c r="AA15" s="29">
        <f t="shared" si="20"/>
        <v>72043.094728630502</v>
      </c>
      <c r="AB15" s="29">
        <f t="shared" si="20"/>
        <v>71526.927617383102</v>
      </c>
      <c r="AC15" s="29">
        <f t="shared" si="20"/>
        <v>72022.183545893087</v>
      </c>
      <c r="AD15" s="29">
        <f t="shared" si="20"/>
        <v>71504.142838657601</v>
      </c>
      <c r="AE15" s="29">
        <f t="shared" si="20"/>
        <v>75823.893750273855</v>
      </c>
      <c r="AF15" s="29">
        <f t="shared" si="20"/>
        <v>76003.516842324054</v>
      </c>
      <c r="AG15" s="29">
        <f t="shared" si="20"/>
        <v>74888.56916200259</v>
      </c>
      <c r="AH15" s="29">
        <f t="shared" si="20"/>
        <v>103688.67279068142</v>
      </c>
      <c r="AI15" s="29">
        <f t="shared" si="20"/>
        <v>74245.264081591391</v>
      </c>
      <c r="AJ15" s="29">
        <f t="shared" si="20"/>
        <v>76574.222569096193</v>
      </c>
      <c r="AK15" s="29">
        <f t="shared" si="20"/>
        <v>73437.006001987203</v>
      </c>
      <c r="AL15" s="29">
        <f t="shared" si="20"/>
        <v>74516.862044479407</v>
      </c>
      <c r="AM15" s="29">
        <f t="shared" si="20"/>
        <v>75632.929636711342</v>
      </c>
      <c r="AN15" s="29">
        <f t="shared" si="20"/>
        <v>73438.436181610479</v>
      </c>
      <c r="AO15" s="29">
        <f t="shared" si="20"/>
        <v>75551.412541137834</v>
      </c>
      <c r="AP15" s="29">
        <f t="shared" si="20"/>
        <v>74285.022738329659</v>
      </c>
      <c r="AQ15" s="29">
        <f t="shared" si="20"/>
        <v>80946.420042668207</v>
      </c>
      <c r="AR15" s="29">
        <f t="shared" si="20"/>
        <v>82722.314427044708</v>
      </c>
      <c r="AS15" s="29">
        <f t="shared" si="20"/>
        <v>75663.235933238204</v>
      </c>
      <c r="AT15" s="29">
        <f t="shared" si="20"/>
        <v>80266.396779449162</v>
      </c>
      <c r="AU15" s="29">
        <f t="shared" si="20"/>
        <v>78057.11331859426</v>
      </c>
      <c r="AV15" s="29">
        <f t="shared" si="20"/>
        <v>80235.456758199813</v>
      </c>
      <c r="AW15" s="29">
        <f t="shared" si="20"/>
        <v>78023.401139480295</v>
      </c>
      <c r="AX15" s="29">
        <f t="shared" si="20"/>
        <v>78899.080135408294</v>
      </c>
      <c r="AY15" s="29">
        <f t="shared" si="20"/>
        <v>80179.745374130114</v>
      </c>
      <c r="AZ15" s="29">
        <f t="shared" si="20"/>
        <v>77976.99503125262</v>
      </c>
      <c r="BA15" s="29">
        <f t="shared" si="20"/>
        <v>80145.445318777405</v>
      </c>
      <c r="BB15" s="29">
        <f t="shared" si="20"/>
        <v>77939.621766368684</v>
      </c>
      <c r="BC15" s="29">
        <f t="shared" si="20"/>
        <v>84939.509806706134</v>
      </c>
      <c r="BD15" s="29">
        <f t="shared" si="20"/>
        <v>86820.614975328965</v>
      </c>
      <c r="BE15" s="29">
        <f t="shared" si="20"/>
        <v>79368.802583779179</v>
      </c>
      <c r="BF15" s="29">
        <f t="shared" si="20"/>
        <v>84222.556388826953</v>
      </c>
      <c r="BG15" s="29">
        <f t="shared" si="20"/>
        <v>81887.404248399602</v>
      </c>
      <c r="BH15" s="29">
        <f t="shared" si="20"/>
        <v>84182.930527125456</v>
      </c>
      <c r="BI15" s="29">
        <f t="shared" si="20"/>
        <v>81844.227996629867</v>
      </c>
      <c r="BJ15" s="29">
        <f t="shared" si="20"/>
        <v>180768.43714639291</v>
      </c>
      <c r="BL15" s="29">
        <f t="shared" si="17"/>
        <v>-215844.15465220428</v>
      </c>
      <c r="BM15" s="29">
        <f t="shared" si="17"/>
        <v>703264.01683596591</v>
      </c>
      <c r="BN15" s="29">
        <f t="shared" si="17"/>
        <v>862123.82422803494</v>
      </c>
      <c r="BO15" s="29">
        <f t="shared" si="17"/>
        <v>928085.80834022537</v>
      </c>
      <c r="BP15" s="29">
        <f t="shared" si="17"/>
        <v>951055.22602461185</v>
      </c>
      <c r="BQ15" s="29">
        <f t="shared" si="17"/>
        <v>764034.48367318907</v>
      </c>
      <c r="BS15" s="46">
        <f t="shared" si="18"/>
        <v>3992719.2044498231</v>
      </c>
      <c r="BU15" s="170"/>
      <c r="BV15" s="170"/>
      <c r="BW15" s="170"/>
      <c r="BX15" s="170"/>
      <c r="BY15" s="170"/>
      <c r="BZ15" s="170"/>
      <c r="CA15" s="170"/>
      <c r="CB15" s="170"/>
      <c r="CC15" s="170"/>
      <c r="CD15" s="170"/>
      <c r="CE15" s="170"/>
      <c r="CF15" s="171"/>
    </row>
    <row r="16" spans="1:121">
      <c r="A16" s="68" t="s">
        <v>357</v>
      </c>
      <c r="B16" s="69" t="s">
        <v>256</v>
      </c>
      <c r="C16" s="268">
        <f>Кредиты!C25</f>
        <v>150000</v>
      </c>
      <c r="D16" s="268">
        <f>Кредиты!D25</f>
        <v>0</v>
      </c>
      <c r="E16" s="268">
        <f>Кредиты!E25</f>
        <v>0</v>
      </c>
      <c r="F16" s="268">
        <f>Кредиты!F25</f>
        <v>0</v>
      </c>
      <c r="G16" s="268">
        <f>Кредиты!G25</f>
        <v>0</v>
      </c>
      <c r="H16" s="268">
        <f>Кредиты!H25</f>
        <v>0</v>
      </c>
      <c r="I16" s="268">
        <f>Кредиты!I25</f>
        <v>0</v>
      </c>
      <c r="J16" s="268">
        <f>Кредиты!J25</f>
        <v>0</v>
      </c>
      <c r="K16" s="268">
        <f>Кредиты!K25</f>
        <v>0</v>
      </c>
      <c r="L16" s="268">
        <f>Кредиты!L25</f>
        <v>0</v>
      </c>
      <c r="M16" s="268">
        <f>Кредиты!M25</f>
        <v>0</v>
      </c>
      <c r="N16" s="268">
        <f>Кредиты!N25</f>
        <v>0</v>
      </c>
      <c r="O16" s="268">
        <f>Кредиты!O25</f>
        <v>0</v>
      </c>
      <c r="P16" s="268">
        <f>Кредиты!P25</f>
        <v>0</v>
      </c>
      <c r="Q16" s="268">
        <f>Кредиты!Q25</f>
        <v>0</v>
      </c>
      <c r="R16" s="268">
        <f>Кредиты!R25</f>
        <v>0</v>
      </c>
      <c r="S16" s="268">
        <f>Кредиты!S25</f>
        <v>0</v>
      </c>
      <c r="T16" s="268">
        <f>Кредиты!T25</f>
        <v>0</v>
      </c>
      <c r="U16" s="268">
        <f>Кредиты!U25</f>
        <v>0</v>
      </c>
      <c r="V16" s="268">
        <f>Кредиты!V25</f>
        <v>0</v>
      </c>
      <c r="W16" s="268">
        <f>Кредиты!W25</f>
        <v>0</v>
      </c>
      <c r="X16" s="268">
        <f>Кредиты!X25</f>
        <v>0</v>
      </c>
      <c r="Y16" s="268">
        <f>Кредиты!Y25</f>
        <v>0</v>
      </c>
      <c r="Z16" s="268">
        <f>Кредиты!Z25</f>
        <v>0</v>
      </c>
      <c r="AA16" s="268">
        <f>Кредиты!AA25</f>
        <v>0</v>
      </c>
      <c r="AB16" s="268">
        <f>Кредиты!AB25</f>
        <v>0</v>
      </c>
      <c r="AC16" s="268">
        <f>Кредиты!AC25</f>
        <v>0</v>
      </c>
      <c r="AD16" s="268">
        <f>Кредиты!AD25</f>
        <v>0</v>
      </c>
      <c r="AE16" s="268">
        <f>Кредиты!AE25</f>
        <v>0</v>
      </c>
      <c r="AF16" s="268">
        <f>Кредиты!AF25</f>
        <v>0</v>
      </c>
      <c r="AG16" s="268">
        <f>Кредиты!AG25</f>
        <v>0</v>
      </c>
      <c r="AH16" s="268">
        <f>Кредиты!AH25</f>
        <v>0</v>
      </c>
      <c r="AI16" s="268">
        <f>Кредиты!AI25</f>
        <v>0</v>
      </c>
      <c r="AJ16" s="268">
        <f>Кредиты!AJ25</f>
        <v>0</v>
      </c>
      <c r="AK16" s="268">
        <f>Кредиты!AK25</f>
        <v>0</v>
      </c>
      <c r="AL16" s="268">
        <f>Кредиты!AL25</f>
        <v>0</v>
      </c>
      <c r="AM16" s="268">
        <f>Кредиты!AM25</f>
        <v>0</v>
      </c>
      <c r="AN16" s="268">
        <f>Кредиты!AN25</f>
        <v>0</v>
      </c>
      <c r="AO16" s="268">
        <f>Кредиты!AO25</f>
        <v>0</v>
      </c>
      <c r="AP16" s="268">
        <f>Кредиты!AP25</f>
        <v>0</v>
      </c>
      <c r="AQ16" s="268">
        <f>Кредиты!AQ25</f>
        <v>0</v>
      </c>
      <c r="AR16" s="268">
        <f>Кредиты!AR25</f>
        <v>0</v>
      </c>
      <c r="AS16" s="268">
        <f>Кредиты!AS25</f>
        <v>0</v>
      </c>
      <c r="AT16" s="268">
        <f>Кредиты!AT25</f>
        <v>0</v>
      </c>
      <c r="AU16" s="268">
        <f>Кредиты!AU25</f>
        <v>0</v>
      </c>
      <c r="AV16" s="268">
        <f>Кредиты!AV25</f>
        <v>0</v>
      </c>
      <c r="AW16" s="268">
        <f>Кредиты!AW25</f>
        <v>0</v>
      </c>
      <c r="AX16" s="268">
        <f>Кредиты!AX25</f>
        <v>0</v>
      </c>
      <c r="AY16" s="268">
        <f>Кредиты!AY25</f>
        <v>0</v>
      </c>
      <c r="AZ16" s="268">
        <f>Кредиты!AZ25</f>
        <v>0</v>
      </c>
      <c r="BA16" s="268">
        <f>Кредиты!BA25</f>
        <v>0</v>
      </c>
      <c r="BB16" s="268">
        <f>Кредиты!BB25</f>
        <v>0</v>
      </c>
      <c r="BC16" s="268">
        <f>Кредиты!BC25</f>
        <v>0</v>
      </c>
      <c r="BD16" s="268">
        <f>Кредиты!BD25</f>
        <v>0</v>
      </c>
      <c r="BE16" s="268">
        <f>Кредиты!BE25</f>
        <v>0</v>
      </c>
      <c r="BF16" s="268">
        <f>Кредиты!BF25</f>
        <v>0</v>
      </c>
      <c r="BG16" s="268">
        <f>Кредиты!BG25</f>
        <v>0</v>
      </c>
      <c r="BH16" s="268">
        <f>Кредиты!BH25</f>
        <v>0</v>
      </c>
      <c r="BI16" s="268">
        <f>Кредиты!BI25</f>
        <v>0</v>
      </c>
      <c r="BJ16" s="268">
        <f>Кредиты!BJ25</f>
        <v>0</v>
      </c>
      <c r="BL16" s="268">
        <f t="shared" si="17"/>
        <v>150000</v>
      </c>
      <c r="BM16" s="268">
        <f t="shared" si="17"/>
        <v>0</v>
      </c>
      <c r="BN16" s="268">
        <f t="shared" si="17"/>
        <v>0</v>
      </c>
      <c r="BO16" s="268">
        <f t="shared" si="17"/>
        <v>0</v>
      </c>
      <c r="BP16" s="268">
        <f t="shared" si="17"/>
        <v>0</v>
      </c>
      <c r="BQ16" s="268">
        <f t="shared" si="17"/>
        <v>0</v>
      </c>
      <c r="BS16" s="46">
        <f t="shared" si="18"/>
        <v>150000</v>
      </c>
      <c r="BU16" s="170"/>
      <c r="BV16" s="170"/>
      <c r="BW16" s="170"/>
      <c r="BX16" s="170"/>
      <c r="BY16" s="170"/>
      <c r="BZ16" s="170"/>
      <c r="CA16" s="170"/>
      <c r="CB16" s="170"/>
      <c r="CC16" s="170"/>
      <c r="CD16" s="170"/>
      <c r="CE16" s="170"/>
      <c r="CF16" s="171"/>
    </row>
    <row r="17" spans="1:84">
      <c r="A17" s="68" t="s">
        <v>358</v>
      </c>
      <c r="B17" s="69" t="s">
        <v>256</v>
      </c>
      <c r="C17" s="268">
        <f>SUM(C18:C19)</f>
        <v>-4402.6985064729415</v>
      </c>
      <c r="D17" s="268">
        <f t="shared" ref="D17:BJ17" si="21">SUM(D18:D19)</f>
        <v>-4402.6985064729415</v>
      </c>
      <c r="E17" s="268">
        <f t="shared" si="21"/>
        <v>-4402.6985064729415</v>
      </c>
      <c r="F17" s="268">
        <f t="shared" si="21"/>
        <v>-4402.6985064729415</v>
      </c>
      <c r="G17" s="268">
        <f t="shared" si="21"/>
        <v>-4402.6985064729415</v>
      </c>
      <c r="H17" s="268">
        <f t="shared" si="21"/>
        <v>-4402.6985064729415</v>
      </c>
      <c r="I17" s="268">
        <f t="shared" si="21"/>
        <v>-4402.6985064729415</v>
      </c>
      <c r="J17" s="268">
        <f t="shared" si="21"/>
        <v>-4402.6985064729415</v>
      </c>
      <c r="K17" s="268">
        <f t="shared" si="21"/>
        <v>-4402.6985064729415</v>
      </c>
      <c r="L17" s="268">
        <f t="shared" si="21"/>
        <v>-4402.6985064729415</v>
      </c>
      <c r="M17" s="268">
        <f t="shared" si="21"/>
        <v>-4402.6985064729415</v>
      </c>
      <c r="N17" s="268">
        <f t="shared" si="21"/>
        <v>-4402.6985064729415</v>
      </c>
      <c r="O17" s="268">
        <f t="shared" si="21"/>
        <v>-4402.6985064729415</v>
      </c>
      <c r="P17" s="268">
        <f t="shared" si="21"/>
        <v>-4402.6985064729415</v>
      </c>
      <c r="Q17" s="268">
        <f t="shared" si="21"/>
        <v>-4402.6985064729415</v>
      </c>
      <c r="R17" s="268">
        <f t="shared" si="21"/>
        <v>-4402.6985064729415</v>
      </c>
      <c r="S17" s="268">
        <f t="shared" si="21"/>
        <v>-4402.6985064729415</v>
      </c>
      <c r="T17" s="268">
        <f t="shared" si="21"/>
        <v>-4402.6985064729415</v>
      </c>
      <c r="U17" s="268">
        <f t="shared" si="21"/>
        <v>-4402.6985064729415</v>
      </c>
      <c r="V17" s="268">
        <f t="shared" si="21"/>
        <v>-4402.6985064729415</v>
      </c>
      <c r="W17" s="268">
        <f t="shared" si="21"/>
        <v>-4402.6985064729415</v>
      </c>
      <c r="X17" s="268">
        <f t="shared" si="21"/>
        <v>-4402.6985064729415</v>
      </c>
      <c r="Y17" s="268">
        <f t="shared" si="21"/>
        <v>-4402.6985064729415</v>
      </c>
      <c r="Z17" s="268">
        <f t="shared" si="21"/>
        <v>-4402.6985064729415</v>
      </c>
      <c r="AA17" s="268">
        <f t="shared" si="21"/>
        <v>-4402.6985064729415</v>
      </c>
      <c r="AB17" s="268">
        <f t="shared" si="21"/>
        <v>-4402.6985064729415</v>
      </c>
      <c r="AC17" s="268">
        <f t="shared" si="21"/>
        <v>-4402.6985064729415</v>
      </c>
      <c r="AD17" s="268">
        <f t="shared" si="21"/>
        <v>-4402.6985064729415</v>
      </c>
      <c r="AE17" s="268">
        <f t="shared" si="21"/>
        <v>-4402.6985064729415</v>
      </c>
      <c r="AF17" s="268">
        <f t="shared" si="21"/>
        <v>-4402.6985064729415</v>
      </c>
      <c r="AG17" s="268">
        <f t="shared" si="21"/>
        <v>-4402.6985064729415</v>
      </c>
      <c r="AH17" s="268">
        <f t="shared" si="21"/>
        <v>-4402.6985064729415</v>
      </c>
      <c r="AI17" s="268">
        <f t="shared" si="21"/>
        <v>-4402.6985064729415</v>
      </c>
      <c r="AJ17" s="268">
        <f t="shared" si="21"/>
        <v>-4402.6985064729415</v>
      </c>
      <c r="AK17" s="268">
        <f t="shared" si="21"/>
        <v>-4402.6985064729415</v>
      </c>
      <c r="AL17" s="268">
        <f t="shared" si="21"/>
        <v>-4402.6985064729415</v>
      </c>
      <c r="AM17" s="268">
        <f t="shared" si="21"/>
        <v>-4402.6985064729415</v>
      </c>
      <c r="AN17" s="268">
        <f t="shared" si="21"/>
        <v>-4402.6985064729415</v>
      </c>
      <c r="AO17" s="268">
        <f t="shared" si="21"/>
        <v>-4402.6985064729415</v>
      </c>
      <c r="AP17" s="268">
        <f t="shared" si="21"/>
        <v>-4402.6985064729415</v>
      </c>
      <c r="AQ17" s="268">
        <f t="shared" si="21"/>
        <v>-4402.6985064729415</v>
      </c>
      <c r="AR17" s="268">
        <f t="shared" si="21"/>
        <v>-4402.6985064729415</v>
      </c>
      <c r="AS17" s="268">
        <f t="shared" si="21"/>
        <v>-4402.6985064729415</v>
      </c>
      <c r="AT17" s="268">
        <f t="shared" si="21"/>
        <v>-4402.6985064729415</v>
      </c>
      <c r="AU17" s="268">
        <f t="shared" si="21"/>
        <v>-4402.6985064729415</v>
      </c>
      <c r="AV17" s="268">
        <f t="shared" si="21"/>
        <v>-4402.6985064729415</v>
      </c>
      <c r="AW17" s="268">
        <f t="shared" si="21"/>
        <v>-4402.6985064729415</v>
      </c>
      <c r="AX17" s="268">
        <f t="shared" si="21"/>
        <v>-4402.6985064729415</v>
      </c>
      <c r="AY17" s="268">
        <f t="shared" si="21"/>
        <v>-4402.6985064729415</v>
      </c>
      <c r="AZ17" s="268">
        <f t="shared" si="21"/>
        <v>-4402.6985064729415</v>
      </c>
      <c r="BA17" s="268">
        <f t="shared" si="21"/>
        <v>-4402.6985064729415</v>
      </c>
      <c r="BB17" s="268">
        <f t="shared" si="21"/>
        <v>-4402.6985064729415</v>
      </c>
      <c r="BC17" s="268">
        <f t="shared" si="21"/>
        <v>-4402.6985064729415</v>
      </c>
      <c r="BD17" s="268">
        <f t="shared" si="21"/>
        <v>-4402.6985064729415</v>
      </c>
      <c r="BE17" s="268">
        <f t="shared" si="21"/>
        <v>-4402.6985064729415</v>
      </c>
      <c r="BF17" s="268">
        <f t="shared" si="21"/>
        <v>-4402.6985064729415</v>
      </c>
      <c r="BG17" s="268">
        <f t="shared" si="21"/>
        <v>-4402.6985064729415</v>
      </c>
      <c r="BH17" s="268">
        <f t="shared" si="21"/>
        <v>-4402.6985064729415</v>
      </c>
      <c r="BI17" s="268">
        <f t="shared" si="21"/>
        <v>-4402.6985064729415</v>
      </c>
      <c r="BJ17" s="268">
        <f t="shared" si="21"/>
        <v>-4402.6985064729415</v>
      </c>
      <c r="BL17" s="268">
        <f t="shared" si="17"/>
        <v>-17610.794025891766</v>
      </c>
      <c r="BM17" s="268">
        <f t="shared" si="17"/>
        <v>-52832.382077675284</v>
      </c>
      <c r="BN17" s="268">
        <f t="shared" si="17"/>
        <v>-52832.382077675284</v>
      </c>
      <c r="BO17" s="268">
        <f t="shared" si="17"/>
        <v>-52832.382077675284</v>
      </c>
      <c r="BP17" s="268">
        <f t="shared" si="17"/>
        <v>-52832.382077675284</v>
      </c>
      <c r="BQ17" s="268">
        <f t="shared" si="17"/>
        <v>-35221.588051783532</v>
      </c>
      <c r="BS17" s="46">
        <f t="shared" si="18"/>
        <v>-264161.91038837645</v>
      </c>
      <c r="BU17" s="170"/>
      <c r="BV17" s="170"/>
      <c r="BW17" s="170"/>
      <c r="BX17" s="170"/>
      <c r="BY17" s="170"/>
      <c r="BZ17" s="170"/>
      <c r="CA17" s="170"/>
      <c r="CB17" s="170"/>
      <c r="CC17" s="170"/>
      <c r="CD17" s="170"/>
      <c r="CE17" s="170"/>
      <c r="CF17" s="171"/>
    </row>
    <row r="18" spans="1:84">
      <c r="A18" s="267" t="s">
        <v>359</v>
      </c>
      <c r="B18" s="69" t="s">
        <v>256</v>
      </c>
      <c r="C18" s="268">
        <f>Кредиты!C20</f>
        <v>-3125.0000000000005</v>
      </c>
      <c r="D18" s="268">
        <f>Кредиты!D20</f>
        <v>-3098.3812811151479</v>
      </c>
      <c r="E18" s="268">
        <f>Кредиты!E20</f>
        <v>-3071.2080055868601</v>
      </c>
      <c r="F18" s="268">
        <f>Кредиты!F20</f>
        <v>-3043.4686201517338</v>
      </c>
      <c r="G18" s="268">
        <f>Кредиты!G20</f>
        <v>-3015.1513308533749</v>
      </c>
      <c r="H18" s="268">
        <f>Кредиты!H20</f>
        <v>-2986.2440980279675</v>
      </c>
      <c r="I18" s="268">
        <f>Кредиты!I20</f>
        <v>-2956.7346311853639</v>
      </c>
      <c r="J18" s="268">
        <f>Кредиты!J20</f>
        <v>-2926.6103837835394</v>
      </c>
      <c r="K18" s="268">
        <f>Кредиты!K20</f>
        <v>-2895.8585478941768</v>
      </c>
      <c r="L18" s="268">
        <f>Кредиты!L20</f>
        <v>-2864.4660487571191</v>
      </c>
      <c r="M18" s="268">
        <f>Кредиты!M20</f>
        <v>-2832.4195392213728</v>
      </c>
      <c r="N18" s="268">
        <f>Кредиты!N20</f>
        <v>-2799.7053940702981</v>
      </c>
      <c r="O18" s="268">
        <f>Кредиты!O20</f>
        <v>-2766.3097042285772</v>
      </c>
      <c r="P18" s="268">
        <f>Кредиты!P20</f>
        <v>-2732.2182708484861</v>
      </c>
      <c r="Q18" s="268">
        <f>Кредиты!Q20</f>
        <v>-2697.4165992729763</v>
      </c>
      <c r="R18" s="268">
        <f>Кредиты!R20</f>
        <v>-2661.8898928729773</v>
      </c>
      <c r="S18" s="268">
        <f>Кредиты!S20</f>
        <v>-2625.6230467563109</v>
      </c>
      <c r="T18" s="268">
        <f>Кредиты!T20</f>
        <v>-2588.600641345548</v>
      </c>
      <c r="U18" s="268">
        <f>Кредиты!U20</f>
        <v>-2550.806935822061</v>
      </c>
      <c r="V18" s="268">
        <f>Кредиты!V20</f>
        <v>-2512.2258614335005</v>
      </c>
      <c r="W18" s="268">
        <f>Кредиты!W20</f>
        <v>-2472.8410146618457</v>
      </c>
      <c r="X18" s="268">
        <f>Кредиты!X20</f>
        <v>-2432.6356502491144</v>
      </c>
      <c r="Y18" s="268">
        <f>Кредиты!Y20</f>
        <v>-2391.592674077785</v>
      </c>
      <c r="Z18" s="268">
        <f>Кредиты!Z20</f>
        <v>-2349.6946359028857</v>
      </c>
      <c r="AA18" s="268">
        <f>Кредиты!AA20</f>
        <v>-2306.923721932676</v>
      </c>
      <c r="AB18" s="268">
        <f>Кредиты!AB20</f>
        <v>-2263.261747254754</v>
      </c>
      <c r="AC18" s="268">
        <f>Кредиты!AC20</f>
        <v>-2218.6901481043751</v>
      </c>
      <c r="AD18" s="268">
        <f>Кредиты!AD20</f>
        <v>-2173.1899739716964</v>
      </c>
      <c r="AE18" s="268">
        <f>Кредиты!AE20</f>
        <v>-2126.7418795445874</v>
      </c>
      <c r="AF18" s="268">
        <f>Кредиты!AF20</f>
        <v>-2079.3261164835803</v>
      </c>
      <c r="AG18" s="268">
        <f>Кредиты!AG20</f>
        <v>-2030.9225250254681</v>
      </c>
      <c r="AH18" s="268">
        <f>Кредиты!AH20</f>
        <v>-1981.510525411979</v>
      </c>
      <c r="AI18" s="268">
        <f>Кредиты!AI20</f>
        <v>-1931.0691091398762</v>
      </c>
      <c r="AJ18" s="268">
        <f>Кредиты!AJ20</f>
        <v>-1879.57683002877</v>
      </c>
      <c r="AK18" s="268">
        <f>Кредиты!AK20</f>
        <v>-1827.0117951028501</v>
      </c>
      <c r="AL18" s="268">
        <f>Кредиты!AL20</f>
        <v>-1773.35165528264</v>
      </c>
      <c r="AM18" s="268">
        <f>Кредиты!AM20</f>
        <v>-1718.5735958828423</v>
      </c>
      <c r="AN18" s="268">
        <f>Кредиты!AN20</f>
        <v>-1662.6543269122153</v>
      </c>
      <c r="AO18" s="268">
        <f>Кредиты!AO20</f>
        <v>-1605.5700731713669</v>
      </c>
      <c r="AP18" s="268">
        <f>Кредиты!AP20</f>
        <v>-1547.2965641442506</v>
      </c>
      <c r="AQ18" s="268">
        <f>Кредиты!AQ20</f>
        <v>-1487.8090236790686</v>
      </c>
      <c r="AR18" s="268">
        <f>Кредиты!AR20</f>
        <v>-1427.0821594541967</v>
      </c>
      <c r="AS18" s="268">
        <f>Кредиты!AS20</f>
        <v>-1365.09015222464</v>
      </c>
      <c r="AT18" s="268">
        <f>Кредиты!AT20</f>
        <v>-1301.806644844467</v>
      </c>
      <c r="AU18" s="268">
        <f>Кредиты!AU20</f>
        <v>-1237.2047310605403</v>
      </c>
      <c r="AV18" s="268">
        <f>Кредиты!AV20</f>
        <v>-1171.2569440727816</v>
      </c>
      <c r="AW18" s="268">
        <f>Кредиты!AW20</f>
        <v>-1103.9352448561121</v>
      </c>
      <c r="AX18" s="268">
        <f>Кредиты!AX20</f>
        <v>-1035.2110102390943</v>
      </c>
      <c r="AY18" s="268">
        <f>Кредиты!AY20</f>
        <v>-965.05502073422304</v>
      </c>
      <c r="AZ18" s="268">
        <f>Кредиты!AZ20</f>
        <v>-893.43744811466604</v>
      </c>
      <c r="BA18" s="268">
        <f>Кредиты!BA20</f>
        <v>-820.32784273220204</v>
      </c>
      <c r="BB18" s="268">
        <f>Кредиты!BB20</f>
        <v>-745.69512057093652</v>
      </c>
      <c r="BC18" s="268">
        <f>Кредиты!BC20</f>
        <v>-669.50755003131189</v>
      </c>
      <c r="BD18" s="268">
        <f>Кредиты!BD20</f>
        <v>-591.73273843877723</v>
      </c>
      <c r="BE18" s="268">
        <f>Кредиты!BE20</f>
        <v>-512.33761827139915</v>
      </c>
      <c r="BF18" s="268">
        <f>Кредиты!BF20</f>
        <v>-431.28843310053344</v>
      </c>
      <c r="BG18" s="268">
        <f>Кредиты!BG20</f>
        <v>-348.55072323860895</v>
      </c>
      <c r="BH18" s="268">
        <f>Кредиты!BH20</f>
        <v>-264.08931108789329</v>
      </c>
      <c r="BI18" s="268">
        <f>Кредиты!BI20</f>
        <v>-177.86828618403888</v>
      </c>
      <c r="BJ18" s="268">
        <f>Кредиты!BJ20</f>
        <v>-89.850989928019771</v>
      </c>
      <c r="BL18" s="268">
        <f t="shared" si="17"/>
        <v>-12338.057906853743</v>
      </c>
      <c r="BM18" s="268">
        <f t="shared" si="17"/>
        <v>-34135.024441016227</v>
      </c>
      <c r="BN18" s="268">
        <f t="shared" si="17"/>
        <v>-28886.086051512553</v>
      </c>
      <c r="BO18" s="268">
        <f t="shared" si="17"/>
        <v>-22163.604996130427</v>
      </c>
      <c r="BP18" s="268">
        <f t="shared" si="17"/>
        <v>-13553.911342582927</v>
      </c>
      <c r="BQ18" s="268">
        <f t="shared" si="17"/>
        <v>-3085.2256502805826</v>
      </c>
      <c r="BS18" s="46">
        <f t="shared" si="18"/>
        <v>-114161.91038837646</v>
      </c>
      <c r="BU18" s="170"/>
      <c r="BV18" s="170"/>
      <c r="BW18" s="170"/>
      <c r="BX18" s="170"/>
      <c r="BY18" s="170"/>
      <c r="BZ18" s="170"/>
      <c r="CA18" s="170"/>
      <c r="CB18" s="170"/>
      <c r="CC18" s="170"/>
      <c r="CD18" s="170"/>
      <c r="CE18" s="170"/>
      <c r="CF18" s="171"/>
    </row>
    <row r="19" spans="1:84">
      <c r="A19" s="267" t="s">
        <v>360</v>
      </c>
      <c r="B19" s="69" t="s">
        <v>256</v>
      </c>
      <c r="C19" s="268">
        <f>Кредиты!C19</f>
        <v>-1277.6985064729411</v>
      </c>
      <c r="D19" s="268">
        <f>Кредиты!D19</f>
        <v>-1304.3172253577936</v>
      </c>
      <c r="E19" s="268">
        <f>Кредиты!E19</f>
        <v>-1331.4905008860812</v>
      </c>
      <c r="F19" s="268">
        <f>Кредиты!F19</f>
        <v>-1359.2298863212077</v>
      </c>
      <c r="G19" s="268">
        <f>Кредиты!G19</f>
        <v>-1387.5471756195666</v>
      </c>
      <c r="H19" s="268">
        <f>Кредиты!H19</f>
        <v>-1416.454408444974</v>
      </c>
      <c r="I19" s="268">
        <f>Кредиты!I19</f>
        <v>-1445.9638752875776</v>
      </c>
      <c r="J19" s="268">
        <f>Кредиты!J19</f>
        <v>-1476.0881226894021</v>
      </c>
      <c r="K19" s="268">
        <f>Кредиты!K19</f>
        <v>-1506.8399585787649</v>
      </c>
      <c r="L19" s="268">
        <f>Кредиты!L19</f>
        <v>-1538.2324577158224</v>
      </c>
      <c r="M19" s="268">
        <f>Кредиты!M19</f>
        <v>-1570.2789672515687</v>
      </c>
      <c r="N19" s="268">
        <f>Кредиты!N19</f>
        <v>-1602.9931124026434</v>
      </c>
      <c r="O19" s="268">
        <f>Кредиты!O19</f>
        <v>-1636.3888022443646</v>
      </c>
      <c r="P19" s="268">
        <f>Кредиты!P19</f>
        <v>-1670.4802356244556</v>
      </c>
      <c r="Q19" s="268">
        <f>Кредиты!Q19</f>
        <v>-1705.2819071999652</v>
      </c>
      <c r="R19" s="268">
        <f>Кредиты!R19</f>
        <v>-1740.8086135999642</v>
      </c>
      <c r="S19" s="268">
        <f>Кредиты!S19</f>
        <v>-1777.0754597166306</v>
      </c>
      <c r="T19" s="268">
        <f>Кредиты!T19</f>
        <v>-1814.0978651273938</v>
      </c>
      <c r="U19" s="268">
        <f>Кредиты!U19</f>
        <v>-1851.8915706508808</v>
      </c>
      <c r="V19" s="268">
        <f>Кредиты!V19</f>
        <v>-1890.472645039441</v>
      </c>
      <c r="W19" s="268">
        <f>Кредиты!W19</f>
        <v>-1929.8574918110958</v>
      </c>
      <c r="X19" s="268">
        <f>Кредиты!X19</f>
        <v>-1970.0628562238271</v>
      </c>
      <c r="Y19" s="268">
        <f>Кредиты!Y19</f>
        <v>-2011.1058323951568</v>
      </c>
      <c r="Z19" s="268">
        <f>Кредиты!Z19</f>
        <v>-2053.0038705700558</v>
      </c>
      <c r="AA19" s="268">
        <f>Кредиты!AA19</f>
        <v>-2095.7747845402655</v>
      </c>
      <c r="AB19" s="268">
        <f>Кредиты!AB19</f>
        <v>-2139.4367592181875</v>
      </c>
      <c r="AC19" s="268">
        <f>Кредиты!AC19</f>
        <v>-2184.0083583685664</v>
      </c>
      <c r="AD19" s="268">
        <f>Кредиты!AD19</f>
        <v>-2229.5085325012451</v>
      </c>
      <c r="AE19" s="268">
        <f>Кредиты!AE19</f>
        <v>-2275.9566269283541</v>
      </c>
      <c r="AF19" s="268">
        <f>Кредиты!AF19</f>
        <v>-2323.3723899893612</v>
      </c>
      <c r="AG19" s="268">
        <f>Кредиты!AG19</f>
        <v>-2371.7759814474734</v>
      </c>
      <c r="AH19" s="268">
        <f>Кредиты!AH19</f>
        <v>-2421.1879810609626</v>
      </c>
      <c r="AI19" s="268">
        <f>Кредиты!AI19</f>
        <v>-2471.6293973330653</v>
      </c>
      <c r="AJ19" s="268">
        <f>Кредиты!AJ19</f>
        <v>-2523.1216764441715</v>
      </c>
      <c r="AK19" s="268">
        <f>Кредиты!AK19</f>
        <v>-2575.6867113700914</v>
      </c>
      <c r="AL19" s="268">
        <f>Кредиты!AL19</f>
        <v>-2629.3468511903015</v>
      </c>
      <c r="AM19" s="268">
        <f>Кредиты!AM19</f>
        <v>-2684.1249105900993</v>
      </c>
      <c r="AN19" s="268">
        <f>Кредиты!AN19</f>
        <v>-2740.0441795607262</v>
      </c>
      <c r="AO19" s="268">
        <f>Кредиты!AO19</f>
        <v>-2797.1284333015747</v>
      </c>
      <c r="AP19" s="268">
        <f>Кредиты!AP19</f>
        <v>-2855.4019423286909</v>
      </c>
      <c r="AQ19" s="268">
        <f>Кредиты!AQ19</f>
        <v>-2914.889482793873</v>
      </c>
      <c r="AR19" s="268">
        <f>Кредиты!AR19</f>
        <v>-2975.6163470187448</v>
      </c>
      <c r="AS19" s="268">
        <f>Кредиты!AS19</f>
        <v>-3037.6083542483016</v>
      </c>
      <c r="AT19" s="268">
        <f>Кредиты!AT19</f>
        <v>-3100.8918616284745</v>
      </c>
      <c r="AU19" s="268">
        <f>Кредиты!AU19</f>
        <v>-3165.4937754124012</v>
      </c>
      <c r="AV19" s="268">
        <f>Кредиты!AV19</f>
        <v>-3231.4415624001599</v>
      </c>
      <c r="AW19" s="268">
        <f>Кредиты!AW19</f>
        <v>-3298.7632616168294</v>
      </c>
      <c r="AX19" s="268">
        <f>Кредиты!AX19</f>
        <v>-3367.4874962338472</v>
      </c>
      <c r="AY19" s="268">
        <f>Кредиты!AY19</f>
        <v>-3437.6434857387185</v>
      </c>
      <c r="AZ19" s="268">
        <f>Кредиты!AZ19</f>
        <v>-3509.2610583582755</v>
      </c>
      <c r="BA19" s="268">
        <f>Кредиты!BA19</f>
        <v>-3582.3706637407395</v>
      </c>
      <c r="BB19" s="268">
        <f>Кредиты!BB19</f>
        <v>-3657.003385902005</v>
      </c>
      <c r="BC19" s="268">
        <f>Кредиты!BC19</f>
        <v>-3733.1909564416296</v>
      </c>
      <c r="BD19" s="268">
        <f>Кредиты!BD19</f>
        <v>-3810.9657680341643</v>
      </c>
      <c r="BE19" s="268">
        <f>Кредиты!BE19</f>
        <v>-3890.3608882015424</v>
      </c>
      <c r="BF19" s="268">
        <f>Кредиты!BF19</f>
        <v>-3971.4100733724081</v>
      </c>
      <c r="BG19" s="268">
        <f>Кредиты!BG19</f>
        <v>-4054.1477832343326</v>
      </c>
      <c r="BH19" s="268">
        <f>Кредиты!BH19</f>
        <v>-4138.6091953850482</v>
      </c>
      <c r="BI19" s="268">
        <f>Кредиты!BI19</f>
        <v>-4224.8302202889026</v>
      </c>
      <c r="BJ19" s="268">
        <f>Кредиты!BJ19</f>
        <v>-4312.8475165449217</v>
      </c>
      <c r="BL19" s="268">
        <f t="shared" si="17"/>
        <v>-5272.7361190380234</v>
      </c>
      <c r="BM19" s="268">
        <f t="shared" si="17"/>
        <v>-18697.357636659071</v>
      </c>
      <c r="BN19" s="268">
        <f t="shared" si="17"/>
        <v>-23946.296026162745</v>
      </c>
      <c r="BO19" s="268">
        <f t="shared" si="17"/>
        <v>-30668.777081544871</v>
      </c>
      <c r="BP19" s="268">
        <f t="shared" si="17"/>
        <v>-39278.470735092371</v>
      </c>
      <c r="BQ19" s="268">
        <f t="shared" si="17"/>
        <v>-32136.362401502949</v>
      </c>
      <c r="BS19" s="46">
        <f t="shared" si="18"/>
        <v>-150000.00000000003</v>
      </c>
      <c r="BU19" s="170"/>
      <c r="BV19" s="170"/>
      <c r="BW19" s="170"/>
      <c r="BX19" s="170"/>
      <c r="BY19" s="170"/>
      <c r="BZ19" s="170"/>
      <c r="CA19" s="170"/>
      <c r="CB19" s="170"/>
      <c r="CC19" s="170"/>
      <c r="CD19" s="170"/>
      <c r="CE19" s="170"/>
      <c r="CF19" s="171"/>
    </row>
    <row r="20" spans="1:84">
      <c r="A20" s="70" t="s">
        <v>126</v>
      </c>
      <c r="B20" s="71" t="s">
        <v>256</v>
      </c>
      <c r="C20" s="29">
        <f>C15+C16+C17</f>
        <v>15082.765913527048</v>
      </c>
      <c r="D20" s="29">
        <f t="shared" ref="D20:BJ20" si="22">D15+D16+D17</f>
        <v>-30545.039080021328</v>
      </c>
      <c r="E20" s="29">
        <f t="shared" si="22"/>
        <v>-37498.697670702328</v>
      </c>
      <c r="F20" s="29">
        <f t="shared" si="22"/>
        <v>-30493.977840899439</v>
      </c>
      <c r="G20" s="29">
        <f t="shared" si="22"/>
        <v>-11462.194826170797</v>
      </c>
      <c r="H20" s="29">
        <f t="shared" si="22"/>
        <v>12524.984365049455</v>
      </c>
      <c r="I20" s="29">
        <f t="shared" si="22"/>
        <v>36459.146298522974</v>
      </c>
      <c r="J20" s="29">
        <f t="shared" si="22"/>
        <v>76688.014335683125</v>
      </c>
      <c r="K20" s="29">
        <f t="shared" si="22"/>
        <v>88472.74345234035</v>
      </c>
      <c r="L20" s="29">
        <f t="shared" si="22"/>
        <v>64225.277917666084</v>
      </c>
      <c r="M20" s="29">
        <f t="shared" si="22"/>
        <v>63743.928612526463</v>
      </c>
      <c r="N20" s="29">
        <f t="shared" si="22"/>
        <v>63972.65955402331</v>
      </c>
      <c r="O20" s="29">
        <f t="shared" si="22"/>
        <v>64202.015057869969</v>
      </c>
      <c r="P20" s="29">
        <f t="shared" si="22"/>
        <v>63718.581451649385</v>
      </c>
      <c r="Q20" s="29">
        <f t="shared" si="22"/>
        <v>64185.687528058261</v>
      </c>
      <c r="R20" s="29">
        <f t="shared" si="22"/>
        <v>63700.791011072011</v>
      </c>
      <c r="S20" s="29">
        <f t="shared" si="22"/>
        <v>67810.443978103431</v>
      </c>
      <c r="T20" s="29">
        <f t="shared" si="22"/>
        <v>68261.747547198203</v>
      </c>
      <c r="U20" s="29">
        <f t="shared" si="22"/>
        <v>66642.372802127371</v>
      </c>
      <c r="V20" s="29">
        <f t="shared" si="22"/>
        <v>67689.052423750938</v>
      </c>
      <c r="W20" s="29">
        <f t="shared" si="22"/>
        <v>67177.244801167675</v>
      </c>
      <c r="X20" s="29">
        <f t="shared" si="22"/>
        <v>67670.18970088959</v>
      </c>
      <c r="Y20" s="29">
        <f t="shared" si="22"/>
        <v>67156.692019818482</v>
      </c>
      <c r="Z20" s="29">
        <f t="shared" si="22"/>
        <v>67398.14417263151</v>
      </c>
      <c r="AA20" s="29">
        <f t="shared" si="22"/>
        <v>67640.396222157564</v>
      </c>
      <c r="AB20" s="29">
        <f t="shared" si="22"/>
        <v>67124.229110910164</v>
      </c>
      <c r="AC20" s="29">
        <f t="shared" si="22"/>
        <v>67619.485039420149</v>
      </c>
      <c r="AD20" s="29">
        <f t="shared" si="22"/>
        <v>67101.444332184663</v>
      </c>
      <c r="AE20" s="29">
        <f t="shared" si="22"/>
        <v>71421.195243800918</v>
      </c>
      <c r="AF20" s="29">
        <f t="shared" si="22"/>
        <v>71600.818335851116</v>
      </c>
      <c r="AG20" s="29">
        <f t="shared" si="22"/>
        <v>70485.870655529652</v>
      </c>
      <c r="AH20" s="29">
        <f t="shared" si="22"/>
        <v>99285.974284208482</v>
      </c>
      <c r="AI20" s="29">
        <f t="shared" si="22"/>
        <v>69842.565575118453</v>
      </c>
      <c r="AJ20" s="29">
        <f t="shared" si="22"/>
        <v>72171.524062623255</v>
      </c>
      <c r="AK20" s="29">
        <f t="shared" si="22"/>
        <v>69034.307495514266</v>
      </c>
      <c r="AL20" s="29">
        <f t="shared" si="22"/>
        <v>70114.163538006469</v>
      </c>
      <c r="AM20" s="29">
        <f t="shared" si="22"/>
        <v>71230.231130238404</v>
      </c>
      <c r="AN20" s="29">
        <f t="shared" si="22"/>
        <v>69035.737675137541</v>
      </c>
      <c r="AO20" s="29">
        <f t="shared" si="22"/>
        <v>71148.714034664896</v>
      </c>
      <c r="AP20" s="29">
        <f t="shared" si="22"/>
        <v>69882.324231856721</v>
      </c>
      <c r="AQ20" s="29">
        <f t="shared" si="22"/>
        <v>76543.721536195269</v>
      </c>
      <c r="AR20" s="29">
        <f t="shared" si="22"/>
        <v>78319.61592057177</v>
      </c>
      <c r="AS20" s="29">
        <f t="shared" si="22"/>
        <v>71260.537426765266</v>
      </c>
      <c r="AT20" s="29">
        <f t="shared" si="22"/>
        <v>75863.698272976224</v>
      </c>
      <c r="AU20" s="29">
        <f t="shared" si="22"/>
        <v>73654.414812121322</v>
      </c>
      <c r="AV20" s="29">
        <f t="shared" si="22"/>
        <v>75832.758251726875</v>
      </c>
      <c r="AW20" s="29">
        <f t="shared" si="22"/>
        <v>73620.702633007357</v>
      </c>
      <c r="AX20" s="29">
        <f t="shared" si="22"/>
        <v>74496.381628935356</v>
      </c>
      <c r="AY20" s="29">
        <f t="shared" si="22"/>
        <v>75777.046867657176</v>
      </c>
      <c r="AZ20" s="29">
        <f t="shared" si="22"/>
        <v>73574.296524779682</v>
      </c>
      <c r="BA20" s="29">
        <f t="shared" si="22"/>
        <v>75742.746812304467</v>
      </c>
      <c r="BB20" s="29">
        <f t="shared" si="22"/>
        <v>73536.923259895746</v>
      </c>
      <c r="BC20" s="29">
        <f t="shared" si="22"/>
        <v>80536.811300233196</v>
      </c>
      <c r="BD20" s="29">
        <f t="shared" si="22"/>
        <v>82417.916468856027</v>
      </c>
      <c r="BE20" s="29">
        <f t="shared" si="22"/>
        <v>74966.104077306241</v>
      </c>
      <c r="BF20" s="29">
        <f t="shared" si="22"/>
        <v>79819.857882354016</v>
      </c>
      <c r="BG20" s="29">
        <f t="shared" si="22"/>
        <v>77484.705741926664</v>
      </c>
      <c r="BH20" s="29">
        <f t="shared" si="22"/>
        <v>79780.232020652518</v>
      </c>
      <c r="BI20" s="29">
        <f t="shared" si="22"/>
        <v>77441.529490156929</v>
      </c>
      <c r="BJ20" s="29">
        <f t="shared" si="22"/>
        <v>176365.73863991996</v>
      </c>
      <c r="BL20" s="29">
        <f t="shared" si="17"/>
        <v>-83454.948678096058</v>
      </c>
      <c r="BM20" s="29">
        <f t="shared" si="17"/>
        <v>650431.63475829049</v>
      </c>
      <c r="BN20" s="29">
        <f t="shared" si="17"/>
        <v>809291.44215035974</v>
      </c>
      <c r="BO20" s="29">
        <f t="shared" si="17"/>
        <v>875253.42626255029</v>
      </c>
      <c r="BP20" s="29">
        <f t="shared" si="17"/>
        <v>898222.84394693642</v>
      </c>
      <c r="BQ20" s="29">
        <f t="shared" si="17"/>
        <v>728812.89562140545</v>
      </c>
      <c r="BS20" s="46">
        <f t="shared" si="18"/>
        <v>3878557.2940614461</v>
      </c>
      <c r="BT20" s="154"/>
      <c r="BU20" s="170"/>
      <c r="BV20" s="170"/>
      <c r="BW20" s="170"/>
      <c r="BX20" s="170"/>
      <c r="BY20" s="170"/>
      <c r="BZ20" s="170"/>
      <c r="CA20" s="170"/>
      <c r="CB20" s="170"/>
      <c r="CC20" s="170"/>
      <c r="CD20" s="170"/>
      <c r="CE20" s="170"/>
      <c r="CF20" s="171"/>
    </row>
    <row r="21" spans="1:84">
      <c r="A21" s="7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S21" s="6"/>
      <c r="BT21" s="154"/>
      <c r="BU21" s="170"/>
      <c r="BV21" s="170"/>
      <c r="BW21" s="170"/>
      <c r="BX21" s="170"/>
      <c r="BY21" s="170"/>
      <c r="BZ21" s="170"/>
      <c r="CA21" s="170"/>
      <c r="CB21" s="170"/>
      <c r="CC21" s="170"/>
      <c r="CD21" s="170"/>
      <c r="CE21" s="170"/>
      <c r="CF21" s="171"/>
    </row>
    <row r="22" spans="1:84">
      <c r="A22" s="70" t="s">
        <v>12</v>
      </c>
      <c r="B22" s="70"/>
      <c r="C22" s="25">
        <f>B24</f>
        <v>0</v>
      </c>
      <c r="D22" s="25">
        <f t="shared" ref="D22:BI22" si="23">C24</f>
        <v>15082.765913527048</v>
      </c>
      <c r="E22" s="25">
        <f t="shared" si="23"/>
        <v>0</v>
      </c>
      <c r="F22" s="25">
        <f t="shared" si="23"/>
        <v>0</v>
      </c>
      <c r="G22" s="25">
        <f t="shared" si="23"/>
        <v>0</v>
      </c>
      <c r="H22" s="25">
        <f t="shared" si="23"/>
        <v>0</v>
      </c>
      <c r="I22" s="25">
        <f t="shared" si="23"/>
        <v>12524.984365049455</v>
      </c>
      <c r="J22" s="25">
        <f t="shared" si="23"/>
        <v>48984.130663572432</v>
      </c>
      <c r="K22" s="25">
        <f t="shared" si="23"/>
        <v>125672.14499925556</v>
      </c>
      <c r="L22" s="25">
        <f t="shared" si="23"/>
        <v>214144.88845159591</v>
      </c>
      <c r="M22" s="25">
        <f t="shared" si="23"/>
        <v>278370.16636926198</v>
      </c>
      <c r="N22" s="25">
        <f t="shared" si="23"/>
        <v>342114.09498178842</v>
      </c>
      <c r="O22" s="25">
        <f t="shared" si="23"/>
        <v>406086.75453581172</v>
      </c>
      <c r="P22" s="25">
        <f t="shared" si="23"/>
        <v>470288.76959368167</v>
      </c>
      <c r="Q22" s="25">
        <f t="shared" si="23"/>
        <v>534007.3510453311</v>
      </c>
      <c r="R22" s="25">
        <f t="shared" si="23"/>
        <v>598193.03857338941</v>
      </c>
      <c r="S22" s="25">
        <f t="shared" si="23"/>
        <v>661893.8295844614</v>
      </c>
      <c r="T22" s="25">
        <f t="shared" si="23"/>
        <v>729704.27356256486</v>
      </c>
      <c r="U22" s="25">
        <f t="shared" si="23"/>
        <v>797966.02110976307</v>
      </c>
      <c r="V22" s="25">
        <f t="shared" si="23"/>
        <v>864608.39391189045</v>
      </c>
      <c r="W22" s="25">
        <f t="shared" si="23"/>
        <v>932297.44633564143</v>
      </c>
      <c r="X22" s="25">
        <f t="shared" si="23"/>
        <v>999474.69113680907</v>
      </c>
      <c r="Y22" s="25">
        <f t="shared" si="23"/>
        <v>1067144.8808376987</v>
      </c>
      <c r="Z22" s="25">
        <f t="shared" si="23"/>
        <v>1134301.5728575173</v>
      </c>
      <c r="AA22" s="25">
        <f t="shared" si="23"/>
        <v>1201699.7170301487</v>
      </c>
      <c r="AB22" s="25">
        <f t="shared" si="23"/>
        <v>1269340.1132523064</v>
      </c>
      <c r="AC22" s="25">
        <f t="shared" si="23"/>
        <v>1336464.3423632164</v>
      </c>
      <c r="AD22" s="25">
        <f t="shared" si="23"/>
        <v>1404083.8274026366</v>
      </c>
      <c r="AE22" s="25">
        <f t="shared" si="23"/>
        <v>1471185.2717348214</v>
      </c>
      <c r="AF22" s="25">
        <f t="shared" si="23"/>
        <v>1542606.4669786224</v>
      </c>
      <c r="AG22" s="25">
        <f t="shared" si="23"/>
        <v>1614207.2853144736</v>
      </c>
      <c r="AH22" s="25">
        <f t="shared" si="23"/>
        <v>1684693.1559700032</v>
      </c>
      <c r="AI22" s="25">
        <f t="shared" si="23"/>
        <v>1783979.1302542116</v>
      </c>
      <c r="AJ22" s="25">
        <f t="shared" si="23"/>
        <v>1853821.69582933</v>
      </c>
      <c r="AK22" s="25">
        <f t="shared" si="23"/>
        <v>1925993.2198919533</v>
      </c>
      <c r="AL22" s="25">
        <f t="shared" si="23"/>
        <v>1995027.5273874674</v>
      </c>
      <c r="AM22" s="25">
        <f t="shared" si="23"/>
        <v>2065141.6909254738</v>
      </c>
      <c r="AN22" s="25">
        <f t="shared" si="23"/>
        <v>2136371.9220557124</v>
      </c>
      <c r="AO22" s="25">
        <f t="shared" si="23"/>
        <v>2205407.6597308498</v>
      </c>
      <c r="AP22" s="25">
        <f t="shared" si="23"/>
        <v>2276556.3737655147</v>
      </c>
      <c r="AQ22" s="25">
        <f t="shared" si="23"/>
        <v>2346438.6979973712</v>
      </c>
      <c r="AR22" s="25">
        <f t="shared" si="23"/>
        <v>2422982.4195335666</v>
      </c>
      <c r="AS22" s="25">
        <f t="shared" si="23"/>
        <v>2501302.0354541382</v>
      </c>
      <c r="AT22" s="25">
        <f t="shared" si="23"/>
        <v>2572562.5728809033</v>
      </c>
      <c r="AU22" s="25">
        <f t="shared" si="23"/>
        <v>2648426.2711538794</v>
      </c>
      <c r="AV22" s="25">
        <f t="shared" si="23"/>
        <v>2722080.6859660009</v>
      </c>
      <c r="AW22" s="25">
        <f t="shared" si="23"/>
        <v>2797913.444217728</v>
      </c>
      <c r="AX22" s="25">
        <f t="shared" si="23"/>
        <v>2871534.1468507354</v>
      </c>
      <c r="AY22" s="25">
        <f t="shared" si="23"/>
        <v>2946030.5284796706</v>
      </c>
      <c r="AZ22" s="25">
        <f t="shared" si="23"/>
        <v>3021807.5753473276</v>
      </c>
      <c r="BA22" s="25">
        <f t="shared" si="23"/>
        <v>3095381.8718721075</v>
      </c>
      <c r="BB22" s="25">
        <f t="shared" si="23"/>
        <v>3171124.618684412</v>
      </c>
      <c r="BC22" s="25">
        <f t="shared" si="23"/>
        <v>3244661.5419443077</v>
      </c>
      <c r="BD22" s="25">
        <f t="shared" si="23"/>
        <v>3325198.3532445407</v>
      </c>
      <c r="BE22" s="25">
        <f t="shared" si="23"/>
        <v>3407616.2697133967</v>
      </c>
      <c r="BF22" s="25">
        <f t="shared" si="23"/>
        <v>3482582.3737907028</v>
      </c>
      <c r="BG22" s="25">
        <f t="shared" si="23"/>
        <v>3562402.2316730567</v>
      </c>
      <c r="BH22" s="25">
        <f t="shared" si="23"/>
        <v>3639886.9374149833</v>
      </c>
      <c r="BI22" s="25">
        <f t="shared" si="23"/>
        <v>3719667.1694356357</v>
      </c>
      <c r="BJ22" s="25">
        <f t="shared" ref="BJ22" si="24">BI24</f>
        <v>3797108.6989257927</v>
      </c>
      <c r="BL22" s="25">
        <f t="shared" ref="BL22:BO22" si="25">BK24</f>
        <v>0</v>
      </c>
      <c r="BM22" s="25">
        <f t="shared" si="25"/>
        <v>0</v>
      </c>
      <c r="BN22" s="25">
        <f t="shared" si="25"/>
        <v>661893.82958446129</v>
      </c>
      <c r="BO22" s="25">
        <f t="shared" si="25"/>
        <v>1471185.2717348211</v>
      </c>
      <c r="BP22" s="25">
        <f t="shared" ref="BP22" si="26">BO24</f>
        <v>2346438.6979973717</v>
      </c>
      <c r="BQ22" s="25">
        <f t="shared" ref="BQ22" si="27">BP24</f>
        <v>3244661.5419443082</v>
      </c>
      <c r="BS22" s="46"/>
      <c r="BT22" s="154"/>
      <c r="BU22" s="170"/>
      <c r="BV22" s="170"/>
      <c r="BW22" s="170"/>
      <c r="BX22" s="170"/>
      <c r="BY22" s="170"/>
      <c r="BZ22" s="170"/>
      <c r="CA22" s="170"/>
      <c r="CB22" s="170"/>
      <c r="CC22" s="170"/>
      <c r="CD22" s="170"/>
      <c r="CE22" s="170"/>
      <c r="CF22" s="171"/>
    </row>
    <row r="23" spans="1:84">
      <c r="A23" s="68" t="s">
        <v>24</v>
      </c>
      <c r="B23" s="68"/>
      <c r="C23" s="25">
        <f t="shared" ref="C23:AH23" si="28">-IF(SUM(C20:C22)&lt;0,SUM(C20:C22),0)</f>
        <v>0</v>
      </c>
      <c r="D23" s="25">
        <f t="shared" si="28"/>
        <v>15462.27316649428</v>
      </c>
      <c r="E23" s="25">
        <f t="shared" si="28"/>
        <v>37498.697670702328</v>
      </c>
      <c r="F23" s="25">
        <f t="shared" si="28"/>
        <v>30493.977840899439</v>
      </c>
      <c r="G23" s="25">
        <f t="shared" si="28"/>
        <v>11462.194826170797</v>
      </c>
      <c r="H23" s="25">
        <f t="shared" si="28"/>
        <v>0</v>
      </c>
      <c r="I23" s="25">
        <f t="shared" si="28"/>
        <v>0</v>
      </c>
      <c r="J23" s="25">
        <f t="shared" si="28"/>
        <v>0</v>
      </c>
      <c r="K23" s="25">
        <f t="shared" si="28"/>
        <v>0</v>
      </c>
      <c r="L23" s="25">
        <f t="shared" si="28"/>
        <v>0</v>
      </c>
      <c r="M23" s="25">
        <f t="shared" si="28"/>
        <v>0</v>
      </c>
      <c r="N23" s="25">
        <f t="shared" si="28"/>
        <v>0</v>
      </c>
      <c r="O23" s="25">
        <f t="shared" si="28"/>
        <v>0</v>
      </c>
      <c r="P23" s="25">
        <f t="shared" si="28"/>
        <v>0</v>
      </c>
      <c r="Q23" s="25">
        <f t="shared" si="28"/>
        <v>0</v>
      </c>
      <c r="R23" s="25">
        <f t="shared" si="28"/>
        <v>0</v>
      </c>
      <c r="S23" s="25">
        <f t="shared" si="28"/>
        <v>0</v>
      </c>
      <c r="T23" s="25">
        <f t="shared" si="28"/>
        <v>0</v>
      </c>
      <c r="U23" s="25">
        <f t="shared" si="28"/>
        <v>0</v>
      </c>
      <c r="V23" s="25">
        <f t="shared" si="28"/>
        <v>0</v>
      </c>
      <c r="W23" s="25">
        <f t="shared" si="28"/>
        <v>0</v>
      </c>
      <c r="X23" s="25">
        <f t="shared" si="28"/>
        <v>0</v>
      </c>
      <c r="Y23" s="25">
        <f t="shared" si="28"/>
        <v>0</v>
      </c>
      <c r="Z23" s="25">
        <f t="shared" si="28"/>
        <v>0</v>
      </c>
      <c r="AA23" s="25">
        <f t="shared" si="28"/>
        <v>0</v>
      </c>
      <c r="AB23" s="25">
        <f t="shared" si="28"/>
        <v>0</v>
      </c>
      <c r="AC23" s="25">
        <f t="shared" si="28"/>
        <v>0</v>
      </c>
      <c r="AD23" s="25">
        <f t="shared" si="28"/>
        <v>0</v>
      </c>
      <c r="AE23" s="25">
        <f t="shared" si="28"/>
        <v>0</v>
      </c>
      <c r="AF23" s="25">
        <f t="shared" si="28"/>
        <v>0</v>
      </c>
      <c r="AG23" s="25">
        <f t="shared" si="28"/>
        <v>0</v>
      </c>
      <c r="AH23" s="25">
        <f t="shared" si="28"/>
        <v>0</v>
      </c>
      <c r="AI23" s="25">
        <f t="shared" ref="AI23:BJ23" si="29">-IF(SUM(AI20:AI22)&lt;0,SUM(AI20:AI22),0)</f>
        <v>0</v>
      </c>
      <c r="AJ23" s="25">
        <f t="shared" si="29"/>
        <v>0</v>
      </c>
      <c r="AK23" s="25">
        <f t="shared" si="29"/>
        <v>0</v>
      </c>
      <c r="AL23" s="25">
        <f t="shared" si="29"/>
        <v>0</v>
      </c>
      <c r="AM23" s="25">
        <f t="shared" si="29"/>
        <v>0</v>
      </c>
      <c r="AN23" s="25">
        <f t="shared" si="29"/>
        <v>0</v>
      </c>
      <c r="AO23" s="25">
        <f t="shared" si="29"/>
        <v>0</v>
      </c>
      <c r="AP23" s="25">
        <f t="shared" si="29"/>
        <v>0</v>
      </c>
      <c r="AQ23" s="25">
        <f t="shared" si="29"/>
        <v>0</v>
      </c>
      <c r="AR23" s="25">
        <f t="shared" si="29"/>
        <v>0</v>
      </c>
      <c r="AS23" s="25">
        <f t="shared" si="29"/>
        <v>0</v>
      </c>
      <c r="AT23" s="25">
        <f t="shared" si="29"/>
        <v>0</v>
      </c>
      <c r="AU23" s="25">
        <f t="shared" si="29"/>
        <v>0</v>
      </c>
      <c r="AV23" s="25">
        <f t="shared" si="29"/>
        <v>0</v>
      </c>
      <c r="AW23" s="25">
        <f t="shared" si="29"/>
        <v>0</v>
      </c>
      <c r="AX23" s="25">
        <f t="shared" si="29"/>
        <v>0</v>
      </c>
      <c r="AY23" s="25">
        <f t="shared" si="29"/>
        <v>0</v>
      </c>
      <c r="AZ23" s="25">
        <f t="shared" si="29"/>
        <v>0</v>
      </c>
      <c r="BA23" s="25">
        <f t="shared" si="29"/>
        <v>0</v>
      </c>
      <c r="BB23" s="25">
        <f t="shared" si="29"/>
        <v>0</v>
      </c>
      <c r="BC23" s="25">
        <f t="shared" si="29"/>
        <v>0</v>
      </c>
      <c r="BD23" s="25">
        <f t="shared" si="29"/>
        <v>0</v>
      </c>
      <c r="BE23" s="25">
        <f t="shared" si="29"/>
        <v>0</v>
      </c>
      <c r="BF23" s="25">
        <f t="shared" si="29"/>
        <v>0</v>
      </c>
      <c r="BG23" s="25">
        <f t="shared" si="29"/>
        <v>0</v>
      </c>
      <c r="BH23" s="25">
        <f t="shared" si="29"/>
        <v>0</v>
      </c>
      <c r="BI23" s="25">
        <f t="shared" si="29"/>
        <v>0</v>
      </c>
      <c r="BJ23" s="25">
        <f t="shared" si="29"/>
        <v>0</v>
      </c>
      <c r="BL23" s="25">
        <f t="shared" ref="BL23:BQ23" si="30">SUMIF($C$2:$BJ$2,BL$2,$C23:$BJ23)</f>
        <v>83454.948678096058</v>
      </c>
      <c r="BM23" s="25">
        <f t="shared" si="30"/>
        <v>11462.194826170797</v>
      </c>
      <c r="BN23" s="25">
        <f t="shared" si="30"/>
        <v>0</v>
      </c>
      <c r="BO23" s="25">
        <f t="shared" si="30"/>
        <v>0</v>
      </c>
      <c r="BP23" s="25">
        <f t="shared" si="30"/>
        <v>0</v>
      </c>
      <c r="BQ23" s="25">
        <f t="shared" si="30"/>
        <v>0</v>
      </c>
      <c r="BS23" s="64">
        <f>SUM(BL23:BQ23)</f>
        <v>94917.14350426686</v>
      </c>
      <c r="BT23" s="154"/>
      <c r="BU23" s="170"/>
      <c r="BV23" s="170"/>
      <c r="BW23" s="170"/>
      <c r="BX23" s="170"/>
      <c r="BY23" s="170"/>
      <c r="BZ23" s="170"/>
      <c r="CA23" s="170"/>
      <c r="CB23" s="170"/>
      <c r="CC23" s="170"/>
      <c r="CD23" s="170"/>
      <c r="CE23" s="170"/>
      <c r="CF23" s="171"/>
    </row>
    <row r="24" spans="1:84">
      <c r="A24" s="70" t="s">
        <v>13</v>
      </c>
      <c r="B24" s="70"/>
      <c r="C24" s="25">
        <f t="shared" ref="C24:AH24" si="31">SUM(C20:C23)</f>
        <v>15082.765913527048</v>
      </c>
      <c r="D24" s="25">
        <f t="shared" si="31"/>
        <v>0</v>
      </c>
      <c r="E24" s="25">
        <f t="shared" si="31"/>
        <v>0</v>
      </c>
      <c r="F24" s="25">
        <f t="shared" si="31"/>
        <v>0</v>
      </c>
      <c r="G24" s="25">
        <f t="shared" si="31"/>
        <v>0</v>
      </c>
      <c r="H24" s="25">
        <f t="shared" si="31"/>
        <v>12524.984365049455</v>
      </c>
      <c r="I24" s="25">
        <f t="shared" si="31"/>
        <v>48984.130663572432</v>
      </c>
      <c r="J24" s="25">
        <f t="shared" si="31"/>
        <v>125672.14499925556</v>
      </c>
      <c r="K24" s="25">
        <f t="shared" si="31"/>
        <v>214144.88845159591</v>
      </c>
      <c r="L24" s="25">
        <f t="shared" si="31"/>
        <v>278370.16636926198</v>
      </c>
      <c r="M24" s="25">
        <f t="shared" si="31"/>
        <v>342114.09498178842</v>
      </c>
      <c r="N24" s="25">
        <f t="shared" si="31"/>
        <v>406086.75453581172</v>
      </c>
      <c r="O24" s="25">
        <f t="shared" si="31"/>
        <v>470288.76959368167</v>
      </c>
      <c r="P24" s="25">
        <f t="shared" si="31"/>
        <v>534007.3510453311</v>
      </c>
      <c r="Q24" s="25">
        <f t="shared" si="31"/>
        <v>598193.03857338941</v>
      </c>
      <c r="R24" s="25">
        <f t="shared" si="31"/>
        <v>661893.8295844614</v>
      </c>
      <c r="S24" s="25">
        <f t="shared" si="31"/>
        <v>729704.27356256486</v>
      </c>
      <c r="T24" s="25">
        <f t="shared" si="31"/>
        <v>797966.02110976307</v>
      </c>
      <c r="U24" s="25">
        <f t="shared" si="31"/>
        <v>864608.39391189045</v>
      </c>
      <c r="V24" s="25">
        <f t="shared" si="31"/>
        <v>932297.44633564143</v>
      </c>
      <c r="W24" s="25">
        <f t="shared" si="31"/>
        <v>999474.69113680907</v>
      </c>
      <c r="X24" s="25">
        <f t="shared" si="31"/>
        <v>1067144.8808376987</v>
      </c>
      <c r="Y24" s="25">
        <f t="shared" si="31"/>
        <v>1134301.5728575173</v>
      </c>
      <c r="Z24" s="25">
        <f t="shared" si="31"/>
        <v>1201699.7170301487</v>
      </c>
      <c r="AA24" s="25">
        <f t="shared" si="31"/>
        <v>1269340.1132523064</v>
      </c>
      <c r="AB24" s="25">
        <f t="shared" si="31"/>
        <v>1336464.3423632164</v>
      </c>
      <c r="AC24" s="25">
        <f t="shared" si="31"/>
        <v>1404083.8274026366</v>
      </c>
      <c r="AD24" s="25">
        <f t="shared" si="31"/>
        <v>1471185.2717348214</v>
      </c>
      <c r="AE24" s="25">
        <f t="shared" si="31"/>
        <v>1542606.4669786224</v>
      </c>
      <c r="AF24" s="25">
        <f t="shared" si="31"/>
        <v>1614207.2853144736</v>
      </c>
      <c r="AG24" s="25">
        <f t="shared" si="31"/>
        <v>1684693.1559700032</v>
      </c>
      <c r="AH24" s="25">
        <f t="shared" si="31"/>
        <v>1783979.1302542116</v>
      </c>
      <c r="AI24" s="25">
        <f t="shared" ref="AI24:BJ24" si="32">SUM(AI20:AI23)</f>
        <v>1853821.69582933</v>
      </c>
      <c r="AJ24" s="25">
        <f t="shared" si="32"/>
        <v>1925993.2198919533</v>
      </c>
      <c r="AK24" s="25">
        <f t="shared" si="32"/>
        <v>1995027.5273874674</v>
      </c>
      <c r="AL24" s="25">
        <f t="shared" si="32"/>
        <v>2065141.6909254738</v>
      </c>
      <c r="AM24" s="25">
        <f t="shared" si="32"/>
        <v>2136371.9220557124</v>
      </c>
      <c r="AN24" s="25">
        <f t="shared" si="32"/>
        <v>2205407.6597308498</v>
      </c>
      <c r="AO24" s="25">
        <f t="shared" si="32"/>
        <v>2276556.3737655147</v>
      </c>
      <c r="AP24" s="25">
        <f t="shared" si="32"/>
        <v>2346438.6979973712</v>
      </c>
      <c r="AQ24" s="25">
        <f t="shared" si="32"/>
        <v>2422982.4195335666</v>
      </c>
      <c r="AR24" s="25">
        <f t="shared" si="32"/>
        <v>2501302.0354541382</v>
      </c>
      <c r="AS24" s="25">
        <f t="shared" si="32"/>
        <v>2572562.5728809033</v>
      </c>
      <c r="AT24" s="25">
        <f t="shared" si="32"/>
        <v>2648426.2711538794</v>
      </c>
      <c r="AU24" s="25">
        <f t="shared" si="32"/>
        <v>2722080.6859660009</v>
      </c>
      <c r="AV24" s="25">
        <f t="shared" si="32"/>
        <v>2797913.444217728</v>
      </c>
      <c r="AW24" s="25">
        <f t="shared" si="32"/>
        <v>2871534.1468507354</v>
      </c>
      <c r="AX24" s="25">
        <f t="shared" si="32"/>
        <v>2946030.5284796706</v>
      </c>
      <c r="AY24" s="25">
        <f t="shared" si="32"/>
        <v>3021807.5753473276</v>
      </c>
      <c r="AZ24" s="25">
        <f t="shared" si="32"/>
        <v>3095381.8718721075</v>
      </c>
      <c r="BA24" s="25">
        <f t="shared" si="32"/>
        <v>3171124.618684412</v>
      </c>
      <c r="BB24" s="25">
        <f t="shared" si="32"/>
        <v>3244661.5419443077</v>
      </c>
      <c r="BC24" s="25">
        <f t="shared" si="32"/>
        <v>3325198.3532445407</v>
      </c>
      <c r="BD24" s="25">
        <f t="shared" si="32"/>
        <v>3407616.2697133967</v>
      </c>
      <c r="BE24" s="25">
        <f t="shared" si="32"/>
        <v>3482582.3737907028</v>
      </c>
      <c r="BF24" s="25">
        <f t="shared" si="32"/>
        <v>3562402.2316730567</v>
      </c>
      <c r="BG24" s="25">
        <f t="shared" si="32"/>
        <v>3639886.9374149833</v>
      </c>
      <c r="BH24" s="25">
        <f t="shared" si="32"/>
        <v>3719667.1694356357</v>
      </c>
      <c r="BI24" s="25">
        <f t="shared" si="32"/>
        <v>3797108.6989257927</v>
      </c>
      <c r="BJ24" s="25">
        <f t="shared" si="32"/>
        <v>3973474.4375657127</v>
      </c>
      <c r="BL24" s="25">
        <f t="shared" ref="BL24:BQ24" si="33">SUM(BL20:BL23)</f>
        <v>0</v>
      </c>
      <c r="BM24" s="25">
        <f t="shared" si="33"/>
        <v>661893.82958446129</v>
      </c>
      <c r="BN24" s="25">
        <f t="shared" si="33"/>
        <v>1471185.2717348211</v>
      </c>
      <c r="BO24" s="25">
        <f t="shared" si="33"/>
        <v>2346438.6979973717</v>
      </c>
      <c r="BP24" s="25">
        <f t="shared" si="33"/>
        <v>3244661.5419443082</v>
      </c>
      <c r="BQ24" s="25">
        <f t="shared" si="33"/>
        <v>3973474.4375657137</v>
      </c>
      <c r="BS24" s="48"/>
    </row>
    <row r="25" spans="1:84"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</row>
    <row r="26" spans="1:84">
      <c r="C26" s="8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</row>
    <row r="27" spans="1:84"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</row>
    <row r="28" spans="1:84"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</row>
    <row r="29" spans="1:84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</row>
    <row r="30" spans="1:84"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</row>
    <row r="31" spans="1:84"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</row>
    <row r="32" spans="1:84"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</row>
    <row r="33" spans="3:38"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</row>
  </sheetData>
  <pageMargins left="0.7" right="0.7" top="0.75" bottom="0.75" header="0.3" footer="0.3"/>
  <pageSetup paperSize="9" orientation="portrait" verticalDpi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P39"/>
  <sheetViews>
    <sheetView workbookViewId="0">
      <pane xSplit="2" ySplit="5" topLeftCell="BA6" activePane="bottomRight" state="frozen"/>
      <selection pane="topRight" activeCell="C1" sqref="C1"/>
      <selection pane="bottomLeft" activeCell="A6" sqref="A6"/>
      <selection pane="bottomRight" activeCell="BL9" sqref="BL9:BP26"/>
    </sheetView>
  </sheetViews>
  <sheetFormatPr defaultColWidth="9" defaultRowHeight="13.9"/>
  <cols>
    <col min="1" max="1" width="30.5703125" style="1" customWidth="1"/>
    <col min="2" max="2" width="3.35546875" style="1" customWidth="1"/>
    <col min="3" max="38" width="9.5703125" style="1" customWidth="1"/>
    <col min="39" max="39" width="10" style="1" customWidth="1"/>
    <col min="40" max="41" width="10.140625" style="1" customWidth="1"/>
    <col min="42" max="42" width="10.35546875" style="1" customWidth="1"/>
    <col min="43" max="43" width="9.5703125" style="1" customWidth="1"/>
    <col min="44" max="45" width="10.35546875" style="1" customWidth="1"/>
    <col min="46" max="46" width="9.85546875" style="1" customWidth="1"/>
    <col min="47" max="47" width="11" style="1" customWidth="1"/>
    <col min="48" max="48" width="10.42578125" style="1" customWidth="1"/>
    <col min="49" max="49" width="11" style="1" customWidth="1"/>
    <col min="50" max="50" width="10.42578125" style="1" customWidth="1"/>
    <col min="51" max="51" width="10.35546875" style="1" customWidth="1"/>
    <col min="52" max="52" width="9.85546875" style="1" customWidth="1"/>
    <col min="53" max="62" width="9.85546875" style="1" bestFit="1" customWidth="1"/>
    <col min="63" max="63" width="9" style="1"/>
    <col min="64" max="64" width="10.140625" style="1" bestFit="1" customWidth="1"/>
    <col min="65" max="65" width="9.85546875" style="1" bestFit="1" customWidth="1"/>
    <col min="66" max="68" width="10.5703125" style="1" bestFit="1" customWidth="1"/>
    <col min="69" max="16384" width="9" style="1"/>
  </cols>
  <sheetData>
    <row r="1" spans="1:68">
      <c r="A1" s="124" t="s">
        <v>6</v>
      </c>
      <c r="B1" s="124"/>
      <c r="C1" s="104">
        <f>IF(OR(MONTH(C3)=1,MONTH(C3)=2,MONTH(C3)=3),1,IF(OR(MONTH(C3)=4,MONTH(C3)=5,MONTH(C3)=6),2,IF(OR(MONTH(C3)=7,MONTH(C3)=8,MONTH(C3)=9),3,4)))</f>
        <v>3</v>
      </c>
      <c r="D1" s="104">
        <f>IF(OR(MONTH(D3)=1,MONTH(D3)=2,MONTH(D3)=3),1,IF(OR(MONTH(D3)=4,MONTH(D3)=5,MONTH(D3)=6),2,IF(OR(MONTH(D3)=7,MONTH(D3)=8,MONTH(D3)=9),3,4)))</f>
        <v>4</v>
      </c>
      <c r="E1" s="104">
        <f>IF(OR(MONTH(E3)=1,MONTH(E3)=2,MONTH(E3)=3),1,IF(OR(MONTH(E3)=4,MONTH(E3)=5,MONTH(E3)=6),2,IF(OR(MONTH(E3)=7,MONTH(E3)=8,MONTH(E3)=9),3,4)))</f>
        <v>4</v>
      </c>
      <c r="F1" s="104">
        <f t="shared" ref="F1:BJ1" si="0">IF(OR(MONTH(F3)=1,MONTH(F3)=2,MONTH(F3)=3),1,IF(OR(MONTH(F3)=4,MONTH(F3)=5,MONTH(F3)=6),2,IF(OR(MONTH(F3)=7,MONTH(F3)=8,MONTH(F3)=9),3,4)))</f>
        <v>4</v>
      </c>
      <c r="G1" s="104">
        <f t="shared" si="0"/>
        <v>1</v>
      </c>
      <c r="H1" s="104">
        <f t="shared" si="0"/>
        <v>1</v>
      </c>
      <c r="I1" s="104">
        <f t="shared" si="0"/>
        <v>1</v>
      </c>
      <c r="J1" s="104">
        <f t="shared" si="0"/>
        <v>2</v>
      </c>
      <c r="K1" s="104">
        <f t="shared" si="0"/>
        <v>2</v>
      </c>
      <c r="L1" s="104">
        <f t="shared" si="0"/>
        <v>2</v>
      </c>
      <c r="M1" s="104">
        <f t="shared" si="0"/>
        <v>3</v>
      </c>
      <c r="N1" s="104">
        <f t="shared" si="0"/>
        <v>3</v>
      </c>
      <c r="O1" s="104">
        <f t="shared" si="0"/>
        <v>3</v>
      </c>
      <c r="P1" s="104">
        <f t="shared" si="0"/>
        <v>4</v>
      </c>
      <c r="Q1" s="104">
        <f t="shared" si="0"/>
        <v>4</v>
      </c>
      <c r="R1" s="104">
        <f t="shared" si="0"/>
        <v>4</v>
      </c>
      <c r="S1" s="104">
        <f t="shared" si="0"/>
        <v>1</v>
      </c>
      <c r="T1" s="104">
        <f t="shared" si="0"/>
        <v>1</v>
      </c>
      <c r="U1" s="104">
        <f t="shared" si="0"/>
        <v>1</v>
      </c>
      <c r="V1" s="104">
        <f t="shared" si="0"/>
        <v>2</v>
      </c>
      <c r="W1" s="104">
        <f t="shared" si="0"/>
        <v>2</v>
      </c>
      <c r="X1" s="104">
        <f t="shared" si="0"/>
        <v>2</v>
      </c>
      <c r="Y1" s="104">
        <f t="shared" si="0"/>
        <v>3</v>
      </c>
      <c r="Z1" s="104">
        <f t="shared" si="0"/>
        <v>3</v>
      </c>
      <c r="AA1" s="104">
        <f t="shared" si="0"/>
        <v>3</v>
      </c>
      <c r="AB1" s="104">
        <f t="shared" si="0"/>
        <v>4</v>
      </c>
      <c r="AC1" s="104">
        <f t="shared" si="0"/>
        <v>4</v>
      </c>
      <c r="AD1" s="104">
        <f t="shared" si="0"/>
        <v>4</v>
      </c>
      <c r="AE1" s="104">
        <f t="shared" si="0"/>
        <v>1</v>
      </c>
      <c r="AF1" s="104">
        <f t="shared" si="0"/>
        <v>1</v>
      </c>
      <c r="AG1" s="104">
        <f t="shared" si="0"/>
        <v>1</v>
      </c>
      <c r="AH1" s="104">
        <f t="shared" si="0"/>
        <v>2</v>
      </c>
      <c r="AI1" s="104">
        <f t="shared" si="0"/>
        <v>2</v>
      </c>
      <c r="AJ1" s="104">
        <f t="shared" si="0"/>
        <v>2</v>
      </c>
      <c r="AK1" s="104">
        <f t="shared" si="0"/>
        <v>3</v>
      </c>
      <c r="AL1" s="104">
        <f t="shared" si="0"/>
        <v>3</v>
      </c>
      <c r="AM1" s="104">
        <f t="shared" si="0"/>
        <v>3</v>
      </c>
      <c r="AN1" s="104">
        <f t="shared" si="0"/>
        <v>4</v>
      </c>
      <c r="AO1" s="104">
        <f t="shared" si="0"/>
        <v>4</v>
      </c>
      <c r="AP1" s="104">
        <f t="shared" si="0"/>
        <v>4</v>
      </c>
      <c r="AQ1" s="104">
        <f t="shared" si="0"/>
        <v>1</v>
      </c>
      <c r="AR1" s="104">
        <f t="shared" si="0"/>
        <v>1</v>
      </c>
      <c r="AS1" s="104">
        <f t="shared" si="0"/>
        <v>1</v>
      </c>
      <c r="AT1" s="104">
        <f t="shared" si="0"/>
        <v>2</v>
      </c>
      <c r="AU1" s="104">
        <f t="shared" si="0"/>
        <v>2</v>
      </c>
      <c r="AV1" s="104">
        <f t="shared" si="0"/>
        <v>2</v>
      </c>
      <c r="AW1" s="104">
        <f t="shared" si="0"/>
        <v>3</v>
      </c>
      <c r="AX1" s="104">
        <f t="shared" si="0"/>
        <v>3</v>
      </c>
      <c r="AY1" s="104">
        <f t="shared" si="0"/>
        <v>3</v>
      </c>
      <c r="AZ1" s="104">
        <f t="shared" si="0"/>
        <v>4</v>
      </c>
      <c r="BA1" s="104">
        <f t="shared" si="0"/>
        <v>4</v>
      </c>
      <c r="BB1" s="104">
        <f t="shared" si="0"/>
        <v>4</v>
      </c>
      <c r="BC1" s="104">
        <f t="shared" si="0"/>
        <v>1</v>
      </c>
      <c r="BD1" s="104">
        <f t="shared" si="0"/>
        <v>1</v>
      </c>
      <c r="BE1" s="104">
        <f t="shared" si="0"/>
        <v>1</v>
      </c>
      <c r="BF1" s="104">
        <f t="shared" si="0"/>
        <v>2</v>
      </c>
      <c r="BG1" s="104">
        <f t="shared" si="0"/>
        <v>2</v>
      </c>
      <c r="BH1" s="104">
        <f t="shared" si="0"/>
        <v>2</v>
      </c>
      <c r="BI1" s="104">
        <f t="shared" si="0"/>
        <v>3</v>
      </c>
      <c r="BJ1" s="104">
        <f t="shared" si="0"/>
        <v>3</v>
      </c>
    </row>
    <row r="2" spans="1:68">
      <c r="A2" s="124" t="s">
        <v>7</v>
      </c>
      <c r="B2" s="124"/>
      <c r="C2" s="104">
        <f>YEAR(C3)</f>
        <v>2025</v>
      </c>
      <c r="D2" s="104">
        <f>YEAR(D3)</f>
        <v>2025</v>
      </c>
      <c r="E2" s="104">
        <f t="shared" ref="E2:BJ2" si="1">YEAR(E3)</f>
        <v>2025</v>
      </c>
      <c r="F2" s="104">
        <f t="shared" si="1"/>
        <v>2025</v>
      </c>
      <c r="G2" s="104">
        <f t="shared" si="1"/>
        <v>2026</v>
      </c>
      <c r="H2" s="104">
        <f t="shared" si="1"/>
        <v>2026</v>
      </c>
      <c r="I2" s="104">
        <f t="shared" si="1"/>
        <v>2026</v>
      </c>
      <c r="J2" s="104">
        <f t="shared" si="1"/>
        <v>2026</v>
      </c>
      <c r="K2" s="104">
        <f t="shared" si="1"/>
        <v>2026</v>
      </c>
      <c r="L2" s="104">
        <f t="shared" si="1"/>
        <v>2026</v>
      </c>
      <c r="M2" s="104">
        <f t="shared" si="1"/>
        <v>2026</v>
      </c>
      <c r="N2" s="104">
        <f t="shared" si="1"/>
        <v>2026</v>
      </c>
      <c r="O2" s="104">
        <f t="shared" si="1"/>
        <v>2026</v>
      </c>
      <c r="P2" s="104">
        <f t="shared" si="1"/>
        <v>2026</v>
      </c>
      <c r="Q2" s="104">
        <f t="shared" si="1"/>
        <v>2026</v>
      </c>
      <c r="R2" s="104">
        <f t="shared" si="1"/>
        <v>2026</v>
      </c>
      <c r="S2" s="104">
        <f t="shared" si="1"/>
        <v>2027</v>
      </c>
      <c r="T2" s="104">
        <f t="shared" si="1"/>
        <v>2027</v>
      </c>
      <c r="U2" s="104">
        <f t="shared" si="1"/>
        <v>2027</v>
      </c>
      <c r="V2" s="104">
        <f t="shared" si="1"/>
        <v>2027</v>
      </c>
      <c r="W2" s="104">
        <f t="shared" si="1"/>
        <v>2027</v>
      </c>
      <c r="X2" s="104">
        <f t="shared" si="1"/>
        <v>2027</v>
      </c>
      <c r="Y2" s="104">
        <f t="shared" si="1"/>
        <v>2027</v>
      </c>
      <c r="Z2" s="104">
        <f t="shared" si="1"/>
        <v>2027</v>
      </c>
      <c r="AA2" s="104">
        <f t="shared" si="1"/>
        <v>2027</v>
      </c>
      <c r="AB2" s="104">
        <f t="shared" si="1"/>
        <v>2027</v>
      </c>
      <c r="AC2" s="104">
        <f t="shared" si="1"/>
        <v>2027</v>
      </c>
      <c r="AD2" s="104">
        <f t="shared" si="1"/>
        <v>2027</v>
      </c>
      <c r="AE2" s="104">
        <f t="shared" si="1"/>
        <v>2028</v>
      </c>
      <c r="AF2" s="104">
        <f t="shared" si="1"/>
        <v>2028</v>
      </c>
      <c r="AG2" s="104">
        <f t="shared" si="1"/>
        <v>2028</v>
      </c>
      <c r="AH2" s="104">
        <f t="shared" si="1"/>
        <v>2028</v>
      </c>
      <c r="AI2" s="104">
        <f t="shared" si="1"/>
        <v>2028</v>
      </c>
      <c r="AJ2" s="104">
        <f t="shared" si="1"/>
        <v>2028</v>
      </c>
      <c r="AK2" s="104">
        <f t="shared" si="1"/>
        <v>2028</v>
      </c>
      <c r="AL2" s="104">
        <f t="shared" si="1"/>
        <v>2028</v>
      </c>
      <c r="AM2" s="104">
        <f t="shared" si="1"/>
        <v>2028</v>
      </c>
      <c r="AN2" s="104">
        <f t="shared" si="1"/>
        <v>2028</v>
      </c>
      <c r="AO2" s="104">
        <f t="shared" si="1"/>
        <v>2028</v>
      </c>
      <c r="AP2" s="104">
        <f t="shared" si="1"/>
        <v>2028</v>
      </c>
      <c r="AQ2" s="104">
        <f t="shared" si="1"/>
        <v>2029</v>
      </c>
      <c r="AR2" s="104">
        <f t="shared" si="1"/>
        <v>2029</v>
      </c>
      <c r="AS2" s="104">
        <f t="shared" si="1"/>
        <v>2029</v>
      </c>
      <c r="AT2" s="104">
        <f t="shared" si="1"/>
        <v>2029</v>
      </c>
      <c r="AU2" s="104">
        <f t="shared" si="1"/>
        <v>2029</v>
      </c>
      <c r="AV2" s="104">
        <f t="shared" si="1"/>
        <v>2029</v>
      </c>
      <c r="AW2" s="104">
        <f t="shared" si="1"/>
        <v>2029</v>
      </c>
      <c r="AX2" s="104">
        <f t="shared" si="1"/>
        <v>2029</v>
      </c>
      <c r="AY2" s="104">
        <f t="shared" si="1"/>
        <v>2029</v>
      </c>
      <c r="AZ2" s="104">
        <f t="shared" si="1"/>
        <v>2029</v>
      </c>
      <c r="BA2" s="104">
        <f t="shared" si="1"/>
        <v>2029</v>
      </c>
      <c r="BB2" s="104">
        <f t="shared" si="1"/>
        <v>2029</v>
      </c>
      <c r="BC2" s="104">
        <f t="shared" si="1"/>
        <v>2030</v>
      </c>
      <c r="BD2" s="104">
        <f t="shared" si="1"/>
        <v>2030</v>
      </c>
      <c r="BE2" s="104">
        <f t="shared" si="1"/>
        <v>2030</v>
      </c>
      <c r="BF2" s="104">
        <f t="shared" si="1"/>
        <v>2030</v>
      </c>
      <c r="BG2" s="104">
        <f t="shared" si="1"/>
        <v>2030</v>
      </c>
      <c r="BH2" s="104">
        <f t="shared" si="1"/>
        <v>2030</v>
      </c>
      <c r="BI2" s="104">
        <f t="shared" si="1"/>
        <v>2030</v>
      </c>
      <c r="BJ2" s="104">
        <f t="shared" si="1"/>
        <v>2030</v>
      </c>
      <c r="BL2" s="104">
        <f>YEAR(C3)</f>
        <v>2025</v>
      </c>
      <c r="BM2" s="104">
        <f t="shared" ref="BM2:BP2" si="2">BL2+1</f>
        <v>2026</v>
      </c>
      <c r="BN2" s="104">
        <f t="shared" si="2"/>
        <v>2027</v>
      </c>
      <c r="BO2" s="104">
        <f t="shared" si="2"/>
        <v>2028</v>
      </c>
      <c r="BP2" s="104">
        <f t="shared" si="2"/>
        <v>2029</v>
      </c>
    </row>
    <row r="3" spans="1:68">
      <c r="A3" s="124" t="s">
        <v>8</v>
      </c>
      <c r="B3" s="124"/>
      <c r="C3" s="125">
        <f>Допущения!$C$4</f>
        <v>45901</v>
      </c>
      <c r="D3" s="125">
        <f t="shared" ref="D3:BK3" si="3">DATE(YEAR(C3),MONTH(C3)+1,1)</f>
        <v>45931</v>
      </c>
      <c r="E3" s="125">
        <f t="shared" si="3"/>
        <v>45962</v>
      </c>
      <c r="F3" s="125">
        <f t="shared" si="3"/>
        <v>45992</v>
      </c>
      <c r="G3" s="125">
        <f t="shared" si="3"/>
        <v>46023</v>
      </c>
      <c r="H3" s="125">
        <f t="shared" si="3"/>
        <v>46054</v>
      </c>
      <c r="I3" s="125">
        <f t="shared" si="3"/>
        <v>46082</v>
      </c>
      <c r="J3" s="125">
        <f t="shared" si="3"/>
        <v>46113</v>
      </c>
      <c r="K3" s="125">
        <f t="shared" si="3"/>
        <v>46143</v>
      </c>
      <c r="L3" s="125">
        <f t="shared" si="3"/>
        <v>46174</v>
      </c>
      <c r="M3" s="125">
        <f t="shared" si="3"/>
        <v>46204</v>
      </c>
      <c r="N3" s="125">
        <f t="shared" si="3"/>
        <v>46235</v>
      </c>
      <c r="O3" s="125">
        <f t="shared" si="3"/>
        <v>46266</v>
      </c>
      <c r="P3" s="125">
        <f t="shared" si="3"/>
        <v>46296</v>
      </c>
      <c r="Q3" s="125">
        <f t="shared" si="3"/>
        <v>46327</v>
      </c>
      <c r="R3" s="125">
        <f t="shared" si="3"/>
        <v>46357</v>
      </c>
      <c r="S3" s="125">
        <f t="shared" si="3"/>
        <v>46388</v>
      </c>
      <c r="T3" s="125">
        <f t="shared" si="3"/>
        <v>46419</v>
      </c>
      <c r="U3" s="125">
        <f t="shared" si="3"/>
        <v>46447</v>
      </c>
      <c r="V3" s="125">
        <f t="shared" si="3"/>
        <v>46478</v>
      </c>
      <c r="W3" s="125">
        <f t="shared" si="3"/>
        <v>46508</v>
      </c>
      <c r="X3" s="125">
        <f t="shared" si="3"/>
        <v>46539</v>
      </c>
      <c r="Y3" s="125">
        <f t="shared" si="3"/>
        <v>46569</v>
      </c>
      <c r="Z3" s="125">
        <f t="shared" si="3"/>
        <v>46600</v>
      </c>
      <c r="AA3" s="125">
        <f t="shared" si="3"/>
        <v>46631</v>
      </c>
      <c r="AB3" s="125">
        <f t="shared" si="3"/>
        <v>46661</v>
      </c>
      <c r="AC3" s="125">
        <f t="shared" si="3"/>
        <v>46692</v>
      </c>
      <c r="AD3" s="125">
        <f t="shared" si="3"/>
        <v>46722</v>
      </c>
      <c r="AE3" s="125">
        <f t="shared" si="3"/>
        <v>46753</v>
      </c>
      <c r="AF3" s="125">
        <f t="shared" si="3"/>
        <v>46784</v>
      </c>
      <c r="AG3" s="125">
        <f t="shared" si="3"/>
        <v>46813</v>
      </c>
      <c r="AH3" s="125">
        <f t="shared" si="3"/>
        <v>46844</v>
      </c>
      <c r="AI3" s="125">
        <f t="shared" si="3"/>
        <v>46874</v>
      </c>
      <c r="AJ3" s="125">
        <f t="shared" si="3"/>
        <v>46905</v>
      </c>
      <c r="AK3" s="125">
        <f t="shared" si="3"/>
        <v>46935</v>
      </c>
      <c r="AL3" s="125">
        <f t="shared" si="3"/>
        <v>46966</v>
      </c>
      <c r="AM3" s="125">
        <f t="shared" si="3"/>
        <v>46997</v>
      </c>
      <c r="AN3" s="125">
        <f t="shared" si="3"/>
        <v>47027</v>
      </c>
      <c r="AO3" s="125">
        <f t="shared" si="3"/>
        <v>47058</v>
      </c>
      <c r="AP3" s="125">
        <f t="shared" si="3"/>
        <v>47088</v>
      </c>
      <c r="AQ3" s="125">
        <f t="shared" si="3"/>
        <v>47119</v>
      </c>
      <c r="AR3" s="125">
        <f t="shared" si="3"/>
        <v>47150</v>
      </c>
      <c r="AS3" s="125">
        <f t="shared" si="3"/>
        <v>47178</v>
      </c>
      <c r="AT3" s="125">
        <f t="shared" si="3"/>
        <v>47209</v>
      </c>
      <c r="AU3" s="125">
        <f t="shared" si="3"/>
        <v>47239</v>
      </c>
      <c r="AV3" s="125">
        <f t="shared" si="3"/>
        <v>47270</v>
      </c>
      <c r="AW3" s="125">
        <f t="shared" si="3"/>
        <v>47300</v>
      </c>
      <c r="AX3" s="125">
        <f t="shared" si="3"/>
        <v>47331</v>
      </c>
      <c r="AY3" s="125">
        <f t="shared" si="3"/>
        <v>47362</v>
      </c>
      <c r="AZ3" s="125">
        <f t="shared" si="3"/>
        <v>47392</v>
      </c>
      <c r="BA3" s="125">
        <f t="shared" si="3"/>
        <v>47423</v>
      </c>
      <c r="BB3" s="125">
        <f t="shared" si="3"/>
        <v>47453</v>
      </c>
      <c r="BC3" s="125">
        <f t="shared" si="3"/>
        <v>47484</v>
      </c>
      <c r="BD3" s="125">
        <f t="shared" si="3"/>
        <v>47515</v>
      </c>
      <c r="BE3" s="125">
        <f t="shared" si="3"/>
        <v>47543</v>
      </c>
      <c r="BF3" s="125">
        <f t="shared" si="3"/>
        <v>47574</v>
      </c>
      <c r="BG3" s="125">
        <f t="shared" si="3"/>
        <v>47604</v>
      </c>
      <c r="BH3" s="125">
        <f t="shared" si="3"/>
        <v>47635</v>
      </c>
      <c r="BI3" s="125">
        <f t="shared" si="3"/>
        <v>47665</v>
      </c>
      <c r="BJ3" s="125">
        <f t="shared" si="3"/>
        <v>47696</v>
      </c>
      <c r="BK3" s="9">
        <f t="shared" si="3"/>
        <v>47727</v>
      </c>
      <c r="BL3" s="125">
        <f t="shared" ref="BL3:BP3" si="4">DATE(BL2,12,1)</f>
        <v>45992</v>
      </c>
      <c r="BM3" s="125">
        <f t="shared" si="4"/>
        <v>46357</v>
      </c>
      <c r="BN3" s="125">
        <f t="shared" si="4"/>
        <v>46722</v>
      </c>
      <c r="BO3" s="125">
        <f t="shared" si="4"/>
        <v>47088</v>
      </c>
      <c r="BP3" s="125">
        <f t="shared" si="4"/>
        <v>47453</v>
      </c>
    </row>
    <row r="4" spans="1:68">
      <c r="A4" s="124" t="s">
        <v>10</v>
      </c>
      <c r="B4" s="124"/>
      <c r="C4" s="104">
        <f>D3-C3</f>
        <v>30</v>
      </c>
      <c r="D4" s="104">
        <f>E3-D3</f>
        <v>31</v>
      </c>
      <c r="E4" s="104">
        <f t="shared" ref="E4:BJ4" si="5">F3-E3</f>
        <v>30</v>
      </c>
      <c r="F4" s="104">
        <f t="shared" si="5"/>
        <v>31</v>
      </c>
      <c r="G4" s="104">
        <f t="shared" si="5"/>
        <v>31</v>
      </c>
      <c r="H4" s="104">
        <f t="shared" si="5"/>
        <v>28</v>
      </c>
      <c r="I4" s="104">
        <f t="shared" si="5"/>
        <v>31</v>
      </c>
      <c r="J4" s="104">
        <f t="shared" si="5"/>
        <v>30</v>
      </c>
      <c r="K4" s="104">
        <f t="shared" si="5"/>
        <v>31</v>
      </c>
      <c r="L4" s="104">
        <f t="shared" si="5"/>
        <v>30</v>
      </c>
      <c r="M4" s="104">
        <f t="shared" si="5"/>
        <v>31</v>
      </c>
      <c r="N4" s="104">
        <f t="shared" si="5"/>
        <v>31</v>
      </c>
      <c r="O4" s="104">
        <f t="shared" si="5"/>
        <v>30</v>
      </c>
      <c r="P4" s="104">
        <f t="shared" si="5"/>
        <v>31</v>
      </c>
      <c r="Q4" s="104">
        <f t="shared" si="5"/>
        <v>30</v>
      </c>
      <c r="R4" s="104">
        <f t="shared" si="5"/>
        <v>31</v>
      </c>
      <c r="S4" s="104">
        <f t="shared" si="5"/>
        <v>31</v>
      </c>
      <c r="T4" s="104">
        <f t="shared" si="5"/>
        <v>28</v>
      </c>
      <c r="U4" s="104">
        <f t="shared" si="5"/>
        <v>31</v>
      </c>
      <c r="V4" s="104">
        <f t="shared" si="5"/>
        <v>30</v>
      </c>
      <c r="W4" s="104">
        <f t="shared" si="5"/>
        <v>31</v>
      </c>
      <c r="X4" s="104">
        <f t="shared" si="5"/>
        <v>30</v>
      </c>
      <c r="Y4" s="104">
        <f t="shared" si="5"/>
        <v>31</v>
      </c>
      <c r="Z4" s="104">
        <f t="shared" si="5"/>
        <v>31</v>
      </c>
      <c r="AA4" s="104">
        <f t="shared" si="5"/>
        <v>30</v>
      </c>
      <c r="AB4" s="104">
        <f t="shared" si="5"/>
        <v>31</v>
      </c>
      <c r="AC4" s="104">
        <f t="shared" si="5"/>
        <v>30</v>
      </c>
      <c r="AD4" s="104">
        <f t="shared" si="5"/>
        <v>31</v>
      </c>
      <c r="AE4" s="104">
        <f t="shared" si="5"/>
        <v>31</v>
      </c>
      <c r="AF4" s="104">
        <f t="shared" si="5"/>
        <v>29</v>
      </c>
      <c r="AG4" s="104">
        <f t="shared" si="5"/>
        <v>31</v>
      </c>
      <c r="AH4" s="104">
        <f t="shared" si="5"/>
        <v>30</v>
      </c>
      <c r="AI4" s="104">
        <f t="shared" si="5"/>
        <v>31</v>
      </c>
      <c r="AJ4" s="104">
        <f t="shared" si="5"/>
        <v>30</v>
      </c>
      <c r="AK4" s="104">
        <f t="shared" si="5"/>
        <v>31</v>
      </c>
      <c r="AL4" s="104">
        <f t="shared" si="5"/>
        <v>31</v>
      </c>
      <c r="AM4" s="104">
        <f t="shared" si="5"/>
        <v>30</v>
      </c>
      <c r="AN4" s="104">
        <f t="shared" si="5"/>
        <v>31</v>
      </c>
      <c r="AO4" s="104">
        <f t="shared" si="5"/>
        <v>30</v>
      </c>
      <c r="AP4" s="104">
        <f t="shared" si="5"/>
        <v>31</v>
      </c>
      <c r="AQ4" s="104">
        <f t="shared" si="5"/>
        <v>31</v>
      </c>
      <c r="AR4" s="104">
        <f t="shared" si="5"/>
        <v>28</v>
      </c>
      <c r="AS4" s="104">
        <f t="shared" si="5"/>
        <v>31</v>
      </c>
      <c r="AT4" s="104">
        <f t="shared" si="5"/>
        <v>30</v>
      </c>
      <c r="AU4" s="104">
        <f t="shared" si="5"/>
        <v>31</v>
      </c>
      <c r="AV4" s="104">
        <f t="shared" si="5"/>
        <v>30</v>
      </c>
      <c r="AW4" s="104">
        <f t="shared" si="5"/>
        <v>31</v>
      </c>
      <c r="AX4" s="104">
        <f t="shared" si="5"/>
        <v>31</v>
      </c>
      <c r="AY4" s="104">
        <f t="shared" si="5"/>
        <v>30</v>
      </c>
      <c r="AZ4" s="104">
        <f t="shared" si="5"/>
        <v>31</v>
      </c>
      <c r="BA4" s="104">
        <f t="shared" si="5"/>
        <v>30</v>
      </c>
      <c r="BB4" s="104">
        <f t="shared" si="5"/>
        <v>31</v>
      </c>
      <c r="BC4" s="104">
        <f t="shared" si="5"/>
        <v>31</v>
      </c>
      <c r="BD4" s="104">
        <f t="shared" si="5"/>
        <v>28</v>
      </c>
      <c r="BE4" s="104">
        <f t="shared" si="5"/>
        <v>31</v>
      </c>
      <c r="BF4" s="104">
        <f t="shared" si="5"/>
        <v>30</v>
      </c>
      <c r="BG4" s="104">
        <f t="shared" si="5"/>
        <v>31</v>
      </c>
      <c r="BH4" s="104">
        <f t="shared" si="5"/>
        <v>30</v>
      </c>
      <c r="BI4" s="104">
        <f t="shared" si="5"/>
        <v>31</v>
      </c>
      <c r="BJ4" s="104">
        <f t="shared" si="5"/>
        <v>31</v>
      </c>
    </row>
    <row r="5" spans="1:68">
      <c r="A5" s="124" t="s">
        <v>9</v>
      </c>
      <c r="B5" s="124"/>
      <c r="C5" s="104">
        <v>1</v>
      </c>
      <c r="D5" s="104">
        <f>C5+1</f>
        <v>2</v>
      </c>
      <c r="E5" s="104">
        <f t="shared" ref="E5:BJ5" si="6">D5+1</f>
        <v>3</v>
      </c>
      <c r="F5" s="104">
        <f t="shared" si="6"/>
        <v>4</v>
      </c>
      <c r="G5" s="104">
        <f t="shared" si="6"/>
        <v>5</v>
      </c>
      <c r="H5" s="104">
        <f t="shared" si="6"/>
        <v>6</v>
      </c>
      <c r="I5" s="104">
        <f t="shared" si="6"/>
        <v>7</v>
      </c>
      <c r="J5" s="104">
        <f t="shared" si="6"/>
        <v>8</v>
      </c>
      <c r="K5" s="104">
        <f t="shared" si="6"/>
        <v>9</v>
      </c>
      <c r="L5" s="104">
        <f t="shared" si="6"/>
        <v>10</v>
      </c>
      <c r="M5" s="104">
        <f t="shared" si="6"/>
        <v>11</v>
      </c>
      <c r="N5" s="104">
        <f t="shared" si="6"/>
        <v>12</v>
      </c>
      <c r="O5" s="104">
        <f t="shared" si="6"/>
        <v>13</v>
      </c>
      <c r="P5" s="104">
        <f t="shared" si="6"/>
        <v>14</v>
      </c>
      <c r="Q5" s="104">
        <f t="shared" si="6"/>
        <v>15</v>
      </c>
      <c r="R5" s="104">
        <f t="shared" si="6"/>
        <v>16</v>
      </c>
      <c r="S5" s="104">
        <f t="shared" si="6"/>
        <v>17</v>
      </c>
      <c r="T5" s="104">
        <f t="shared" si="6"/>
        <v>18</v>
      </c>
      <c r="U5" s="104">
        <f t="shared" si="6"/>
        <v>19</v>
      </c>
      <c r="V5" s="104">
        <f t="shared" si="6"/>
        <v>20</v>
      </c>
      <c r="W5" s="104">
        <f t="shared" si="6"/>
        <v>21</v>
      </c>
      <c r="X5" s="104">
        <f t="shared" si="6"/>
        <v>22</v>
      </c>
      <c r="Y5" s="104">
        <f t="shared" si="6"/>
        <v>23</v>
      </c>
      <c r="Z5" s="104">
        <f t="shared" si="6"/>
        <v>24</v>
      </c>
      <c r="AA5" s="104">
        <f t="shared" si="6"/>
        <v>25</v>
      </c>
      <c r="AB5" s="104">
        <f t="shared" si="6"/>
        <v>26</v>
      </c>
      <c r="AC5" s="104">
        <f t="shared" si="6"/>
        <v>27</v>
      </c>
      <c r="AD5" s="104">
        <f t="shared" si="6"/>
        <v>28</v>
      </c>
      <c r="AE5" s="104">
        <f t="shared" si="6"/>
        <v>29</v>
      </c>
      <c r="AF5" s="104">
        <f t="shared" si="6"/>
        <v>30</v>
      </c>
      <c r="AG5" s="104">
        <f t="shared" si="6"/>
        <v>31</v>
      </c>
      <c r="AH5" s="104">
        <f t="shared" si="6"/>
        <v>32</v>
      </c>
      <c r="AI5" s="104">
        <f t="shared" si="6"/>
        <v>33</v>
      </c>
      <c r="AJ5" s="104">
        <f>AI5+1</f>
        <v>34</v>
      </c>
      <c r="AK5" s="104">
        <f t="shared" si="6"/>
        <v>35</v>
      </c>
      <c r="AL5" s="104">
        <f t="shared" si="6"/>
        <v>36</v>
      </c>
      <c r="AM5" s="104">
        <f t="shared" si="6"/>
        <v>37</v>
      </c>
      <c r="AN5" s="104">
        <f t="shared" si="6"/>
        <v>38</v>
      </c>
      <c r="AO5" s="104">
        <f t="shared" si="6"/>
        <v>39</v>
      </c>
      <c r="AP5" s="104">
        <f t="shared" si="6"/>
        <v>40</v>
      </c>
      <c r="AQ5" s="104">
        <f t="shared" si="6"/>
        <v>41</v>
      </c>
      <c r="AR5" s="104">
        <f t="shared" si="6"/>
        <v>42</v>
      </c>
      <c r="AS5" s="104">
        <f t="shared" si="6"/>
        <v>43</v>
      </c>
      <c r="AT5" s="104">
        <f t="shared" si="6"/>
        <v>44</v>
      </c>
      <c r="AU5" s="104">
        <f t="shared" si="6"/>
        <v>45</v>
      </c>
      <c r="AV5" s="104">
        <f t="shared" si="6"/>
        <v>46</v>
      </c>
      <c r="AW5" s="104">
        <f t="shared" si="6"/>
        <v>47</v>
      </c>
      <c r="AX5" s="104">
        <f t="shared" si="6"/>
        <v>48</v>
      </c>
      <c r="AY5" s="104">
        <f t="shared" si="6"/>
        <v>49</v>
      </c>
      <c r="AZ5" s="104">
        <f t="shared" si="6"/>
        <v>50</v>
      </c>
      <c r="BA5" s="104">
        <f t="shared" si="6"/>
        <v>51</v>
      </c>
      <c r="BB5" s="104">
        <f t="shared" si="6"/>
        <v>52</v>
      </c>
      <c r="BC5" s="104">
        <f t="shared" si="6"/>
        <v>53</v>
      </c>
      <c r="BD5" s="104">
        <f t="shared" si="6"/>
        <v>54</v>
      </c>
      <c r="BE5" s="104">
        <f t="shared" si="6"/>
        <v>55</v>
      </c>
      <c r="BF5" s="104">
        <f t="shared" si="6"/>
        <v>56</v>
      </c>
      <c r="BG5" s="104">
        <f t="shared" si="6"/>
        <v>57</v>
      </c>
      <c r="BH5" s="104">
        <f t="shared" si="6"/>
        <v>58</v>
      </c>
      <c r="BI5" s="104">
        <f t="shared" si="6"/>
        <v>59</v>
      </c>
      <c r="BJ5" s="104">
        <f t="shared" si="6"/>
        <v>60</v>
      </c>
    </row>
    <row r="6" spans="1:68">
      <c r="A6" s="102"/>
      <c r="B6" s="195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2"/>
      <c r="AI6" s="102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2"/>
      <c r="BL6" s="102"/>
      <c r="BM6" s="102"/>
      <c r="BN6" s="102"/>
      <c r="BO6" s="102"/>
      <c r="BP6" s="102"/>
    </row>
    <row r="7" spans="1:68">
      <c r="A7" s="124" t="s">
        <v>268</v>
      </c>
      <c r="B7" s="124"/>
      <c r="C7" s="102"/>
      <c r="D7" s="102"/>
      <c r="E7" s="196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2"/>
      <c r="BL7" s="102"/>
      <c r="BM7" s="102"/>
      <c r="BN7" s="102"/>
      <c r="BO7" s="102"/>
      <c r="BP7" s="102"/>
    </row>
    <row r="8" spans="1:68">
      <c r="A8" s="102"/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2"/>
    </row>
    <row r="9" spans="1:68">
      <c r="A9" s="124" t="s">
        <v>188</v>
      </c>
      <c r="B9" s="124"/>
      <c r="C9" s="197">
        <f>C10+C15</f>
        <v>144774.33649352705</v>
      </c>
      <c r="D9" s="197">
        <f t="shared" ref="D9:BJ9" si="7">D10+D15</f>
        <v>154110.46316000001</v>
      </c>
      <c r="E9" s="197">
        <f t="shared" si="7"/>
        <v>185539.29451777777</v>
      </c>
      <c r="F9" s="197">
        <f t="shared" si="7"/>
        <v>222280.63647604687</v>
      </c>
      <c r="G9" s="197">
        <f t="shared" si="7"/>
        <v>259343.19002991531</v>
      </c>
      <c r="H9" s="197">
        <f t="shared" si="7"/>
        <v>315645.83749184397</v>
      </c>
      <c r="I9" s="197">
        <f t="shared" si="7"/>
        <v>365740.77591950411</v>
      </c>
      <c r="J9" s="197">
        <f t="shared" si="7"/>
        <v>456835.05136499635</v>
      </c>
      <c r="K9" s="197">
        <f t="shared" si="7"/>
        <v>538309.37775715149</v>
      </c>
      <c r="L9" s="197">
        <f t="shared" si="7"/>
        <v>607990.9886146324</v>
      </c>
      <c r="M9" s="197">
        <f t="shared" si="7"/>
        <v>664736.50016697356</v>
      </c>
      <c r="N9" s="197">
        <f t="shared" si="7"/>
        <v>727938.11766081175</v>
      </c>
      <c r="O9" s="197">
        <f t="shared" si="7"/>
        <v>797596.46565849648</v>
      </c>
      <c r="P9" s="197">
        <f t="shared" si="7"/>
        <v>854316.63004996069</v>
      </c>
      <c r="Q9" s="197">
        <f t="shared" si="7"/>
        <v>923958.65051783388</v>
      </c>
      <c r="R9" s="197">
        <f t="shared" si="7"/>
        <v>980661.02446872066</v>
      </c>
      <c r="S9" s="197">
        <f t="shared" si="7"/>
        <v>1057041.488886639</v>
      </c>
      <c r="T9" s="197">
        <f t="shared" si="7"/>
        <v>1145549.5849986519</v>
      </c>
      <c r="U9" s="197">
        <f t="shared" si="7"/>
        <v>1190403.5251155943</v>
      </c>
      <c r="V9" s="197">
        <f t="shared" si="7"/>
        <v>1263860.2792291602</v>
      </c>
      <c r="W9" s="197">
        <f t="shared" si="7"/>
        <v>1323727.7382201424</v>
      </c>
      <c r="X9" s="197">
        <f t="shared" si="7"/>
        <v>1397165.629610847</v>
      </c>
      <c r="Y9" s="197">
        <f t="shared" si="7"/>
        <v>1457012.5358204802</v>
      </c>
      <c r="Z9" s="197">
        <f t="shared" si="7"/>
        <v>1523639.6379329264</v>
      </c>
      <c r="AA9" s="197">
        <f t="shared" si="7"/>
        <v>1597047.7358448992</v>
      </c>
      <c r="AB9" s="197">
        <f t="shared" si="7"/>
        <v>1656862.1791456239</v>
      </c>
      <c r="AC9" s="197">
        <f t="shared" si="7"/>
        <v>1730249.365874859</v>
      </c>
      <c r="AD9" s="197">
        <f t="shared" si="7"/>
        <v>1790041.0243968584</v>
      </c>
      <c r="AE9" s="197">
        <f t="shared" si="7"/>
        <v>1870499.2932054743</v>
      </c>
      <c r="AF9" s="197">
        <f t="shared" si="7"/>
        <v>1955533.9265932092</v>
      </c>
      <c r="AG9" s="197">
        <f t="shared" si="7"/>
        <v>2011043.8980764847</v>
      </c>
      <c r="AH9" s="197">
        <f t="shared" si="7"/>
        <v>2088431.2093630079</v>
      </c>
      <c r="AI9" s="197">
        <f t="shared" si="7"/>
        <v>2151540.0616783444</v>
      </c>
      <c r="AJ9" s="197">
        <f t="shared" si="7"/>
        <v>2228903.2148803789</v>
      </c>
      <c r="AK9" s="197">
        <f t="shared" si="7"/>
        <v>2291985.7445999826</v>
      </c>
      <c r="AL9" s="197">
        <f t="shared" si="7"/>
        <v>2362188.995110062</v>
      </c>
      <c r="AM9" s="197">
        <f t="shared" si="7"/>
        <v>2439513.9908635831</v>
      </c>
      <c r="AN9" s="197">
        <f t="shared" si="7"/>
        <v>2502554.9443111965</v>
      </c>
      <c r="AO9" s="197">
        <f t="shared" si="7"/>
        <v>2579853.1584530147</v>
      </c>
      <c r="AP9" s="197">
        <f t="shared" si="7"/>
        <v>2642864.9307154119</v>
      </c>
      <c r="AQ9" s="197">
        <f t="shared" si="7"/>
        <v>2727581.6169908172</v>
      </c>
      <c r="AR9" s="197">
        <f t="shared" si="7"/>
        <v>2825694.0448595202</v>
      </c>
      <c r="AS9" s="197">
        <f t="shared" si="7"/>
        <v>2875619.6862177835</v>
      </c>
      <c r="AT9" s="197">
        <f t="shared" si="7"/>
        <v>2957109.9858998284</v>
      </c>
      <c r="AU9" s="197">
        <f t="shared" si="7"/>
        <v>3023595.7151825107</v>
      </c>
      <c r="AV9" s="197">
        <f t="shared" si="7"/>
        <v>3105055.074843307</v>
      </c>
      <c r="AW9" s="197">
        <f t="shared" si="7"/>
        <v>3171507.0919468752</v>
      </c>
      <c r="AX9" s="197">
        <f t="shared" si="7"/>
        <v>3245437.6895801411</v>
      </c>
      <c r="AY9" s="197">
        <f t="shared" si="7"/>
        <v>3326848.1797923511</v>
      </c>
      <c r="AZ9" s="197">
        <f t="shared" si="7"/>
        <v>3393246.9488522075</v>
      </c>
      <c r="BA9" s="197">
        <f t="shared" si="7"/>
        <v>3474623.139009065</v>
      </c>
      <c r="BB9" s="197">
        <f t="shared" si="7"/>
        <v>3540984.5348040373</v>
      </c>
      <c r="BC9" s="197">
        <f t="shared" si="7"/>
        <v>3630141.5111834505</v>
      </c>
      <c r="BD9" s="197">
        <f t="shared" si="7"/>
        <v>3733380.4323008531</v>
      </c>
      <c r="BE9" s="197">
        <f t="shared" si="7"/>
        <v>3785983.4476092421</v>
      </c>
      <c r="BF9" s="197">
        <f t="shared" si="7"/>
        <v>3871749.7890741271</v>
      </c>
      <c r="BG9" s="197">
        <f t="shared" si="7"/>
        <v>3941745.9271131521</v>
      </c>
      <c r="BH9" s="197">
        <f t="shared" si="7"/>
        <v>4027472.6427163356</v>
      </c>
      <c r="BI9" s="197">
        <f t="shared" si="7"/>
        <v>4097425.6045035915</v>
      </c>
      <c r="BJ9" s="197">
        <f t="shared" si="7"/>
        <v>4215425.7566528823</v>
      </c>
      <c r="BK9" s="102"/>
      <c r="BL9" s="197">
        <f t="shared" ref="BL9:BP9" si="8">BL10+BL15</f>
        <v>222280.63647604687</v>
      </c>
      <c r="BM9" s="197">
        <f t="shared" si="8"/>
        <v>980661.02446872066</v>
      </c>
      <c r="BN9" s="197">
        <f t="shared" si="8"/>
        <v>1790041.0243968584</v>
      </c>
      <c r="BO9" s="197">
        <f t="shared" si="8"/>
        <v>2642864.9307154119</v>
      </c>
      <c r="BP9" s="197">
        <f t="shared" si="8"/>
        <v>3540984.5348040373</v>
      </c>
    </row>
    <row r="10" spans="1:68">
      <c r="A10" s="198" t="s">
        <v>189</v>
      </c>
      <c r="B10" s="199"/>
      <c r="C10" s="200">
        <f>SUM(C11:C14)</f>
        <v>108068.07916666668</v>
      </c>
      <c r="D10" s="200">
        <f t="shared" ref="D10:BJ10" si="9">SUM(D11:D14)</f>
        <v>128408.92666666668</v>
      </c>
      <c r="E10" s="200">
        <f t="shared" si="9"/>
        <v>141969.49166666667</v>
      </c>
      <c r="F10" s="200">
        <f t="shared" si="9"/>
        <v>141198.44960648147</v>
      </c>
      <c r="G10" s="200">
        <f t="shared" si="9"/>
        <v>140427.40754629631</v>
      </c>
      <c r="H10" s="200">
        <f t="shared" si="9"/>
        <v>139656.36548611111</v>
      </c>
      <c r="I10" s="200">
        <f t="shared" si="9"/>
        <v>138885.32342592592</v>
      </c>
      <c r="J10" s="200">
        <f t="shared" si="9"/>
        <v>138114.28136574075</v>
      </c>
      <c r="K10" s="200">
        <f t="shared" si="9"/>
        <v>137343.23930555556</v>
      </c>
      <c r="L10" s="200">
        <f t="shared" si="9"/>
        <v>136572.19724537036</v>
      </c>
      <c r="M10" s="200">
        <f t="shared" si="9"/>
        <v>135801.1551851852</v>
      </c>
      <c r="N10" s="200">
        <f t="shared" si="9"/>
        <v>135030.113125</v>
      </c>
      <c r="O10" s="200">
        <f t="shared" si="9"/>
        <v>134259.07106481484</v>
      </c>
      <c r="P10" s="200">
        <f t="shared" si="9"/>
        <v>133488.02900462964</v>
      </c>
      <c r="Q10" s="200">
        <f t="shared" si="9"/>
        <v>132716.98694444445</v>
      </c>
      <c r="R10" s="200">
        <f t="shared" si="9"/>
        <v>131945.94488425925</v>
      </c>
      <c r="S10" s="200">
        <f t="shared" si="9"/>
        <v>131174.90282407409</v>
      </c>
      <c r="T10" s="200">
        <f t="shared" si="9"/>
        <v>130403.86076388889</v>
      </c>
      <c r="U10" s="200">
        <f t="shared" si="9"/>
        <v>129632.81870370371</v>
      </c>
      <c r="V10" s="200">
        <f t="shared" si="9"/>
        <v>128861.7766435185</v>
      </c>
      <c r="W10" s="200">
        <f t="shared" si="9"/>
        <v>128090.73458333334</v>
      </c>
      <c r="X10" s="200">
        <f t="shared" si="9"/>
        <v>127319.69252314814</v>
      </c>
      <c r="Y10" s="200">
        <f t="shared" si="9"/>
        <v>126548.65046296295</v>
      </c>
      <c r="Z10" s="200">
        <f t="shared" si="9"/>
        <v>125777.60840277778</v>
      </c>
      <c r="AA10" s="200">
        <f t="shared" si="9"/>
        <v>125006.5663425926</v>
      </c>
      <c r="AB10" s="200">
        <f t="shared" si="9"/>
        <v>124235.52428240741</v>
      </c>
      <c r="AC10" s="200">
        <f t="shared" si="9"/>
        <v>123464.48222222221</v>
      </c>
      <c r="AD10" s="200">
        <f t="shared" si="9"/>
        <v>122693.44016203703</v>
      </c>
      <c r="AE10" s="200">
        <f t="shared" si="9"/>
        <v>121922.39810185187</v>
      </c>
      <c r="AF10" s="200">
        <f t="shared" si="9"/>
        <v>121151.35604166666</v>
      </c>
      <c r="AG10" s="200">
        <f t="shared" si="9"/>
        <v>120380.31398148146</v>
      </c>
      <c r="AH10" s="200">
        <f t="shared" si="9"/>
        <v>119609.2719212963</v>
      </c>
      <c r="AI10" s="200">
        <f t="shared" si="9"/>
        <v>118838.22986111112</v>
      </c>
      <c r="AJ10" s="200">
        <f t="shared" si="9"/>
        <v>118067.18780092592</v>
      </c>
      <c r="AK10" s="200">
        <f t="shared" si="9"/>
        <v>117296.14574074073</v>
      </c>
      <c r="AL10" s="200">
        <f t="shared" si="9"/>
        <v>116525.10368055555</v>
      </c>
      <c r="AM10" s="200">
        <f t="shared" si="9"/>
        <v>115754.06162037038</v>
      </c>
      <c r="AN10" s="200">
        <f t="shared" si="9"/>
        <v>114983.01956018519</v>
      </c>
      <c r="AO10" s="200">
        <f t="shared" si="9"/>
        <v>114211.97749999998</v>
      </c>
      <c r="AP10" s="200">
        <f t="shared" si="9"/>
        <v>113440.93543981481</v>
      </c>
      <c r="AQ10" s="200">
        <f t="shared" si="9"/>
        <v>112669.89337962963</v>
      </c>
      <c r="AR10" s="200">
        <f t="shared" si="9"/>
        <v>111898.85131944444</v>
      </c>
      <c r="AS10" s="200">
        <f t="shared" si="9"/>
        <v>111127.80925925924</v>
      </c>
      <c r="AT10" s="200">
        <f t="shared" si="9"/>
        <v>110356.76719907406</v>
      </c>
      <c r="AU10" s="200">
        <f t="shared" si="9"/>
        <v>109585.72513888888</v>
      </c>
      <c r="AV10" s="200">
        <f t="shared" si="9"/>
        <v>108814.6830787037</v>
      </c>
      <c r="AW10" s="200">
        <f t="shared" si="9"/>
        <v>108043.64101851852</v>
      </c>
      <c r="AX10" s="200">
        <f t="shared" si="9"/>
        <v>107272.59895833333</v>
      </c>
      <c r="AY10" s="200">
        <f t="shared" si="9"/>
        <v>106501.55689814815</v>
      </c>
      <c r="AZ10" s="200">
        <f t="shared" si="9"/>
        <v>105730.51483796295</v>
      </c>
      <c r="BA10" s="200">
        <f t="shared" si="9"/>
        <v>104959.47277777776</v>
      </c>
      <c r="BB10" s="200">
        <f t="shared" si="9"/>
        <v>104188.43071759258</v>
      </c>
      <c r="BC10" s="200">
        <f t="shared" si="9"/>
        <v>103417.3886574074</v>
      </c>
      <c r="BD10" s="200">
        <f t="shared" si="9"/>
        <v>102646.34659722222</v>
      </c>
      <c r="BE10" s="200">
        <f t="shared" si="9"/>
        <v>101875.30453703704</v>
      </c>
      <c r="BF10" s="200">
        <f t="shared" si="9"/>
        <v>101104.26247685186</v>
      </c>
      <c r="BG10" s="200">
        <f t="shared" si="9"/>
        <v>100333.22041666666</v>
      </c>
      <c r="BH10" s="200">
        <f t="shared" si="9"/>
        <v>99562.178356481469</v>
      </c>
      <c r="BI10" s="200">
        <f t="shared" si="9"/>
        <v>98791.136296296274</v>
      </c>
      <c r="BJ10" s="200">
        <f t="shared" si="9"/>
        <v>98020.094236111094</v>
      </c>
      <c r="BK10" s="102"/>
      <c r="BL10" s="200">
        <f t="shared" ref="BL10:BP19" si="10">SUMIF($C$3:$BJ$3,BL$3,$C10:$BJ10)</f>
        <v>141198.44960648147</v>
      </c>
      <c r="BM10" s="200">
        <f t="shared" si="10"/>
        <v>131945.94488425925</v>
      </c>
      <c r="BN10" s="200">
        <f t="shared" si="10"/>
        <v>122693.44016203703</v>
      </c>
      <c r="BO10" s="200">
        <f t="shared" si="10"/>
        <v>113440.93543981481</v>
      </c>
      <c r="BP10" s="200">
        <f t="shared" si="10"/>
        <v>104188.43071759258</v>
      </c>
    </row>
    <row r="11" spans="1:68">
      <c r="A11" s="201" t="s">
        <v>190</v>
      </c>
      <c r="B11" s="199"/>
      <c r="C11" s="194">
        <f>B11</f>
        <v>0</v>
      </c>
      <c r="D11" s="194">
        <f t="shared" ref="D11:BJ11" si="11">C11</f>
        <v>0</v>
      </c>
      <c r="E11" s="194">
        <f t="shared" si="11"/>
        <v>0</v>
      </c>
      <c r="F11" s="194">
        <f t="shared" si="11"/>
        <v>0</v>
      </c>
      <c r="G11" s="194">
        <f t="shared" si="11"/>
        <v>0</v>
      </c>
      <c r="H11" s="194">
        <f t="shared" si="11"/>
        <v>0</v>
      </c>
      <c r="I11" s="194">
        <f t="shared" si="11"/>
        <v>0</v>
      </c>
      <c r="J11" s="194">
        <f t="shared" si="11"/>
        <v>0</v>
      </c>
      <c r="K11" s="194">
        <f t="shared" si="11"/>
        <v>0</v>
      </c>
      <c r="L11" s="194">
        <f t="shared" si="11"/>
        <v>0</v>
      </c>
      <c r="M11" s="194">
        <f t="shared" si="11"/>
        <v>0</v>
      </c>
      <c r="N11" s="194">
        <f t="shared" si="11"/>
        <v>0</v>
      </c>
      <c r="O11" s="194">
        <f t="shared" si="11"/>
        <v>0</v>
      </c>
      <c r="P11" s="194">
        <f t="shared" si="11"/>
        <v>0</v>
      </c>
      <c r="Q11" s="194">
        <f t="shared" si="11"/>
        <v>0</v>
      </c>
      <c r="R11" s="194">
        <f t="shared" si="11"/>
        <v>0</v>
      </c>
      <c r="S11" s="194">
        <f t="shared" si="11"/>
        <v>0</v>
      </c>
      <c r="T11" s="194">
        <f t="shared" si="11"/>
        <v>0</v>
      </c>
      <c r="U11" s="194">
        <f t="shared" si="11"/>
        <v>0</v>
      </c>
      <c r="V11" s="194">
        <f t="shared" si="11"/>
        <v>0</v>
      </c>
      <c r="W11" s="194">
        <f t="shared" si="11"/>
        <v>0</v>
      </c>
      <c r="X11" s="194">
        <f t="shared" si="11"/>
        <v>0</v>
      </c>
      <c r="Y11" s="194">
        <f t="shared" si="11"/>
        <v>0</v>
      </c>
      <c r="Z11" s="194">
        <f t="shared" si="11"/>
        <v>0</v>
      </c>
      <c r="AA11" s="194">
        <f t="shared" si="11"/>
        <v>0</v>
      </c>
      <c r="AB11" s="194">
        <f t="shared" si="11"/>
        <v>0</v>
      </c>
      <c r="AC11" s="194">
        <f t="shared" si="11"/>
        <v>0</v>
      </c>
      <c r="AD11" s="194">
        <f t="shared" si="11"/>
        <v>0</v>
      </c>
      <c r="AE11" s="194">
        <f t="shared" si="11"/>
        <v>0</v>
      </c>
      <c r="AF11" s="194">
        <f t="shared" si="11"/>
        <v>0</v>
      </c>
      <c r="AG11" s="194">
        <f t="shared" si="11"/>
        <v>0</v>
      </c>
      <c r="AH11" s="194">
        <f t="shared" si="11"/>
        <v>0</v>
      </c>
      <c r="AI11" s="194">
        <f t="shared" si="11"/>
        <v>0</v>
      </c>
      <c r="AJ11" s="194">
        <f t="shared" si="11"/>
        <v>0</v>
      </c>
      <c r="AK11" s="194">
        <f t="shared" si="11"/>
        <v>0</v>
      </c>
      <c r="AL11" s="194">
        <f t="shared" si="11"/>
        <v>0</v>
      </c>
      <c r="AM11" s="194">
        <f t="shared" si="11"/>
        <v>0</v>
      </c>
      <c r="AN11" s="194">
        <f t="shared" si="11"/>
        <v>0</v>
      </c>
      <c r="AO11" s="194">
        <f t="shared" si="11"/>
        <v>0</v>
      </c>
      <c r="AP11" s="194">
        <f t="shared" si="11"/>
        <v>0</v>
      </c>
      <c r="AQ11" s="194">
        <f t="shared" si="11"/>
        <v>0</v>
      </c>
      <c r="AR11" s="194">
        <f t="shared" si="11"/>
        <v>0</v>
      </c>
      <c r="AS11" s="194">
        <f t="shared" si="11"/>
        <v>0</v>
      </c>
      <c r="AT11" s="194">
        <f t="shared" si="11"/>
        <v>0</v>
      </c>
      <c r="AU11" s="194">
        <f t="shared" si="11"/>
        <v>0</v>
      </c>
      <c r="AV11" s="194">
        <f t="shared" si="11"/>
        <v>0</v>
      </c>
      <c r="AW11" s="194">
        <f t="shared" si="11"/>
        <v>0</v>
      </c>
      <c r="AX11" s="194">
        <f t="shared" si="11"/>
        <v>0</v>
      </c>
      <c r="AY11" s="194">
        <f t="shared" si="11"/>
        <v>0</v>
      </c>
      <c r="AZ11" s="194">
        <f t="shared" si="11"/>
        <v>0</v>
      </c>
      <c r="BA11" s="194">
        <f t="shared" si="11"/>
        <v>0</v>
      </c>
      <c r="BB11" s="194">
        <f t="shared" si="11"/>
        <v>0</v>
      </c>
      <c r="BC11" s="194">
        <f t="shared" si="11"/>
        <v>0</v>
      </c>
      <c r="BD11" s="194">
        <f t="shared" si="11"/>
        <v>0</v>
      </c>
      <c r="BE11" s="194">
        <f t="shared" si="11"/>
        <v>0</v>
      </c>
      <c r="BF11" s="194">
        <f t="shared" si="11"/>
        <v>0</v>
      </c>
      <c r="BG11" s="194">
        <f t="shared" si="11"/>
        <v>0</v>
      </c>
      <c r="BH11" s="194">
        <f t="shared" si="11"/>
        <v>0</v>
      </c>
      <c r="BI11" s="194">
        <f t="shared" si="11"/>
        <v>0</v>
      </c>
      <c r="BJ11" s="194">
        <f t="shared" si="11"/>
        <v>0</v>
      </c>
      <c r="BK11" s="102"/>
      <c r="BL11" s="194">
        <f t="shared" si="10"/>
        <v>0</v>
      </c>
      <c r="BM11" s="194">
        <f t="shared" si="10"/>
        <v>0</v>
      </c>
      <c r="BN11" s="194">
        <f t="shared" si="10"/>
        <v>0</v>
      </c>
      <c r="BO11" s="194">
        <f t="shared" si="10"/>
        <v>0</v>
      </c>
      <c r="BP11" s="194">
        <f t="shared" si="10"/>
        <v>0</v>
      </c>
    </row>
    <row r="12" spans="1:68">
      <c r="A12" s="201" t="s">
        <v>191</v>
      </c>
      <c r="B12" s="199"/>
      <c r="C12" s="194">
        <f>Амортизация!C28</f>
        <v>0</v>
      </c>
      <c r="D12" s="194">
        <f>Амортизация!D28</f>
        <v>0</v>
      </c>
      <c r="E12" s="194">
        <f>Амортизация!E28</f>
        <v>0</v>
      </c>
      <c r="F12" s="194">
        <f>Амортизация!F28</f>
        <v>141198.44960648147</v>
      </c>
      <c r="G12" s="194">
        <f>Амортизация!G28</f>
        <v>140427.40754629631</v>
      </c>
      <c r="H12" s="194">
        <f>Амортизация!H28</f>
        <v>139656.36548611111</v>
      </c>
      <c r="I12" s="194">
        <f>Амортизация!I28</f>
        <v>138885.32342592592</v>
      </c>
      <c r="J12" s="194">
        <f>Амортизация!J28</f>
        <v>138114.28136574075</v>
      </c>
      <c r="K12" s="194">
        <f>Амортизация!K28</f>
        <v>137343.23930555556</v>
      </c>
      <c r="L12" s="194">
        <f>Амортизация!L28</f>
        <v>136572.19724537036</v>
      </c>
      <c r="M12" s="194">
        <f>Амортизация!M28</f>
        <v>135801.1551851852</v>
      </c>
      <c r="N12" s="194">
        <f>Амортизация!N28</f>
        <v>135030.113125</v>
      </c>
      <c r="O12" s="194">
        <f>Амортизация!O28</f>
        <v>134259.07106481484</v>
      </c>
      <c r="P12" s="194">
        <f>Амортизация!P28</f>
        <v>133488.02900462964</v>
      </c>
      <c r="Q12" s="194">
        <f>Амортизация!Q28</f>
        <v>132716.98694444445</v>
      </c>
      <c r="R12" s="194">
        <f>Амортизация!R28</f>
        <v>131945.94488425925</v>
      </c>
      <c r="S12" s="194">
        <f>Амортизация!S28</f>
        <v>131174.90282407409</v>
      </c>
      <c r="T12" s="194">
        <f>Амортизация!T28</f>
        <v>130403.86076388889</v>
      </c>
      <c r="U12" s="194">
        <f>Амортизация!U28</f>
        <v>129632.81870370371</v>
      </c>
      <c r="V12" s="194">
        <f>Амортизация!V28</f>
        <v>128861.7766435185</v>
      </c>
      <c r="W12" s="194">
        <f>Амортизация!W28</f>
        <v>128090.73458333334</v>
      </c>
      <c r="X12" s="194">
        <f>Амортизация!X28</f>
        <v>127319.69252314814</v>
      </c>
      <c r="Y12" s="194">
        <f>Амортизация!Y28</f>
        <v>126548.65046296295</v>
      </c>
      <c r="Z12" s="194">
        <f>Амортизация!Z28</f>
        <v>125777.60840277778</v>
      </c>
      <c r="AA12" s="194">
        <f>Амортизация!AA28</f>
        <v>125006.5663425926</v>
      </c>
      <c r="AB12" s="194">
        <f>Амортизация!AB28</f>
        <v>124235.52428240741</v>
      </c>
      <c r="AC12" s="194">
        <f>Амортизация!AC28</f>
        <v>123464.48222222221</v>
      </c>
      <c r="AD12" s="194">
        <f>Амортизация!AD28</f>
        <v>122693.44016203703</v>
      </c>
      <c r="AE12" s="194">
        <f>Амортизация!AE28</f>
        <v>121922.39810185187</v>
      </c>
      <c r="AF12" s="194">
        <f>Амортизация!AF28</f>
        <v>121151.35604166666</v>
      </c>
      <c r="AG12" s="194">
        <f>Амортизация!AG28</f>
        <v>120380.31398148146</v>
      </c>
      <c r="AH12" s="194">
        <f>Амортизация!AH28</f>
        <v>119609.2719212963</v>
      </c>
      <c r="AI12" s="194">
        <f>Амортизация!AI28</f>
        <v>118838.22986111112</v>
      </c>
      <c r="AJ12" s="194">
        <f>Амортизация!AJ28</f>
        <v>118067.18780092592</v>
      </c>
      <c r="AK12" s="194">
        <f>Амортизация!AK28</f>
        <v>117296.14574074073</v>
      </c>
      <c r="AL12" s="194">
        <f>Амортизация!AL28</f>
        <v>116525.10368055555</v>
      </c>
      <c r="AM12" s="194">
        <f>Амортизация!AM28</f>
        <v>115754.06162037038</v>
      </c>
      <c r="AN12" s="194">
        <f>Амортизация!AN28</f>
        <v>114983.01956018519</v>
      </c>
      <c r="AO12" s="194">
        <f>Амортизация!AO28</f>
        <v>114211.97749999998</v>
      </c>
      <c r="AP12" s="194">
        <f>Амортизация!AP28</f>
        <v>113440.93543981481</v>
      </c>
      <c r="AQ12" s="194">
        <f>Амортизация!AQ28</f>
        <v>112669.89337962963</v>
      </c>
      <c r="AR12" s="194">
        <f>Амортизация!AR28</f>
        <v>111898.85131944444</v>
      </c>
      <c r="AS12" s="194">
        <f>Амортизация!AS28</f>
        <v>111127.80925925924</v>
      </c>
      <c r="AT12" s="194">
        <f>Амортизация!AT28</f>
        <v>110356.76719907406</v>
      </c>
      <c r="AU12" s="194">
        <f>Амортизация!AU28</f>
        <v>109585.72513888888</v>
      </c>
      <c r="AV12" s="194">
        <f>Амортизация!AV28</f>
        <v>108814.6830787037</v>
      </c>
      <c r="AW12" s="194">
        <f>Амортизация!AW28</f>
        <v>108043.64101851852</v>
      </c>
      <c r="AX12" s="194">
        <f>Амортизация!AX28</f>
        <v>107272.59895833333</v>
      </c>
      <c r="AY12" s="194">
        <f>Амортизация!AY28</f>
        <v>106501.55689814815</v>
      </c>
      <c r="AZ12" s="194">
        <f>Амортизация!AZ28</f>
        <v>105730.51483796295</v>
      </c>
      <c r="BA12" s="194">
        <f>Амортизация!BA28</f>
        <v>104959.47277777776</v>
      </c>
      <c r="BB12" s="194">
        <f>Амортизация!BB28</f>
        <v>104188.43071759258</v>
      </c>
      <c r="BC12" s="194">
        <f>Амортизация!BC28</f>
        <v>103417.3886574074</v>
      </c>
      <c r="BD12" s="194">
        <f>Амортизация!BD28</f>
        <v>102646.34659722222</v>
      </c>
      <c r="BE12" s="194">
        <f>Амортизация!BE28</f>
        <v>101875.30453703704</v>
      </c>
      <c r="BF12" s="194">
        <f>Амортизация!BF28</f>
        <v>101104.26247685186</v>
      </c>
      <c r="BG12" s="194">
        <f>Амортизация!BG28</f>
        <v>100333.22041666666</v>
      </c>
      <c r="BH12" s="194">
        <f>Амортизация!BH28</f>
        <v>99562.178356481469</v>
      </c>
      <c r="BI12" s="194">
        <f>Амортизация!BI28</f>
        <v>98791.136296296274</v>
      </c>
      <c r="BJ12" s="194">
        <f>Амортизация!BJ28</f>
        <v>98020.094236111094</v>
      </c>
      <c r="BK12" s="102"/>
      <c r="BL12" s="194">
        <f t="shared" si="10"/>
        <v>141198.44960648147</v>
      </c>
      <c r="BM12" s="194">
        <f t="shared" si="10"/>
        <v>131945.94488425925</v>
      </c>
      <c r="BN12" s="194">
        <f t="shared" si="10"/>
        <v>122693.44016203703</v>
      </c>
      <c r="BO12" s="194">
        <f t="shared" si="10"/>
        <v>113440.93543981481</v>
      </c>
      <c r="BP12" s="194">
        <f t="shared" si="10"/>
        <v>104188.43071759258</v>
      </c>
    </row>
    <row r="13" spans="1:68">
      <c r="A13" s="201" t="s">
        <v>192</v>
      </c>
      <c r="B13" s="199"/>
      <c r="C13" s="194">
        <f>SUM(Капвложения!$B17:B17)-Амортизация!C16</f>
        <v>108068.07916666668</v>
      </c>
      <c r="D13" s="194">
        <f>SUM(Капвложения!$B17:C17)-Амортизация!D16</f>
        <v>128408.92666666668</v>
      </c>
      <c r="E13" s="194">
        <f>SUM(Капвложения!$B17:D17)-Амортизация!E16</f>
        <v>141969.49166666667</v>
      </c>
      <c r="F13" s="194">
        <f>SUM(Капвложения!$B17:E17)-Амортизация!F16</f>
        <v>0</v>
      </c>
      <c r="G13" s="194">
        <f>SUM(Капвложения!$B17:F17)-Амортизация!G16</f>
        <v>0</v>
      </c>
      <c r="H13" s="194">
        <f>SUM(Капвложения!$B17:G17)-Амортизация!H16</f>
        <v>0</v>
      </c>
      <c r="I13" s="194">
        <f>SUM(Капвложения!$B17:H17)-Амортизация!I16</f>
        <v>0</v>
      </c>
      <c r="J13" s="194">
        <f>SUM(Капвложения!$B17:I17)-Амортизация!J16</f>
        <v>0</v>
      </c>
      <c r="K13" s="194">
        <f>SUM(Капвложения!$B17:J17)-Амортизация!K16</f>
        <v>0</v>
      </c>
      <c r="L13" s="194">
        <f>SUM(Капвложения!$B17:K17)-Амортизация!L16</f>
        <v>0</v>
      </c>
      <c r="M13" s="194">
        <f>SUM(Капвложения!$B17:L17)-Амортизация!M16</f>
        <v>0</v>
      </c>
      <c r="N13" s="194">
        <f>SUM(Капвложения!$B17:M17)-Амортизация!N16</f>
        <v>0</v>
      </c>
      <c r="O13" s="194">
        <f>SUM(Капвложения!$B17:N17)-Амортизация!O16</f>
        <v>0</v>
      </c>
      <c r="P13" s="194">
        <f>SUM(Капвложения!$B17:O17)-Амортизация!P16</f>
        <v>0</v>
      </c>
      <c r="Q13" s="194">
        <f>SUM(Капвложения!$B17:P17)-Амортизация!Q16</f>
        <v>0</v>
      </c>
      <c r="R13" s="194">
        <f>SUM(Капвложения!$B17:Q17)-Амортизация!R16</f>
        <v>0</v>
      </c>
      <c r="S13" s="194">
        <f>SUM(Капвложения!$B17:R17)-Амортизация!S16</f>
        <v>0</v>
      </c>
      <c r="T13" s="194">
        <f>SUM(Капвложения!$B17:S17)-Амортизация!T16</f>
        <v>0</v>
      </c>
      <c r="U13" s="194">
        <f>SUM(Капвложения!$B17:T17)-Амортизация!U16</f>
        <v>0</v>
      </c>
      <c r="V13" s="194">
        <f>SUM(Капвложения!$B17:U17)-Амортизация!V16</f>
        <v>0</v>
      </c>
      <c r="W13" s="194">
        <f>SUM(Капвложения!$B17:V17)-Амортизация!W16</f>
        <v>0</v>
      </c>
      <c r="X13" s="194">
        <f>SUM(Капвложения!$B17:W17)-Амортизация!X16</f>
        <v>0</v>
      </c>
      <c r="Y13" s="194">
        <f>SUM(Капвложения!$B17:X17)-Амортизация!Y16</f>
        <v>0</v>
      </c>
      <c r="Z13" s="194">
        <f>SUM(Капвложения!$B17:Y17)-Амортизация!Z16</f>
        <v>0</v>
      </c>
      <c r="AA13" s="194">
        <f>SUM(Капвложения!$B17:Z17)-Амортизация!AA16</f>
        <v>0</v>
      </c>
      <c r="AB13" s="194">
        <f>SUM(Капвложения!$B17:AA17)-Амортизация!AB16</f>
        <v>0</v>
      </c>
      <c r="AC13" s="194">
        <f>SUM(Капвложения!$B17:AB17)-Амортизация!AC16</f>
        <v>0</v>
      </c>
      <c r="AD13" s="194">
        <f>SUM(Капвложения!$B17:AC17)-Амортизация!AD16</f>
        <v>0</v>
      </c>
      <c r="AE13" s="194">
        <f>SUM(Капвложения!$B17:AD17)-Амортизация!AE16</f>
        <v>0</v>
      </c>
      <c r="AF13" s="194">
        <f>SUM(Капвложения!$B17:AE17)-Амортизация!AF16</f>
        <v>0</v>
      </c>
      <c r="AG13" s="194">
        <f>SUM(Капвложения!$B17:AF17)-Амортизация!AG16</f>
        <v>0</v>
      </c>
      <c r="AH13" s="194">
        <f>SUM(Капвложения!$B17:AG17)-Амортизация!AH16</f>
        <v>0</v>
      </c>
      <c r="AI13" s="194">
        <f>SUM(Капвложения!$B17:AH17)-Амортизация!AI16</f>
        <v>0</v>
      </c>
      <c r="AJ13" s="194">
        <f>SUM(Капвложения!$B17:AI17)-Амортизация!AJ16</f>
        <v>0</v>
      </c>
      <c r="AK13" s="194">
        <f>SUM(Капвложения!$B17:AJ17)-Амортизация!AK16</f>
        <v>0</v>
      </c>
      <c r="AL13" s="194">
        <f>SUM(Капвложения!$B17:AK17)-Амортизация!AL16</f>
        <v>0</v>
      </c>
      <c r="AM13" s="194">
        <f>SUM(Капвложения!$B17:AL17)-Амортизация!AM16</f>
        <v>0</v>
      </c>
      <c r="AN13" s="194">
        <f>SUM(Капвложения!$B17:AM17)-Амортизация!AN16</f>
        <v>0</v>
      </c>
      <c r="AO13" s="194">
        <f>SUM(Капвложения!$B17:AN17)-Амортизация!AO16</f>
        <v>0</v>
      </c>
      <c r="AP13" s="194">
        <f>SUM(Капвложения!$B17:AO17)-Амортизация!AP16</f>
        <v>0</v>
      </c>
      <c r="AQ13" s="194">
        <f>SUM(Капвложения!$B17:AP17)-Амортизация!AQ16</f>
        <v>0</v>
      </c>
      <c r="AR13" s="194">
        <f>SUM(Капвложения!$B17:AQ17)-Амортизация!AR16</f>
        <v>0</v>
      </c>
      <c r="AS13" s="194">
        <f>SUM(Капвложения!$B17:AR17)-Амортизация!AS16</f>
        <v>0</v>
      </c>
      <c r="AT13" s="194">
        <f>SUM(Капвложения!$B17:AS17)-Амортизация!AT16</f>
        <v>0</v>
      </c>
      <c r="AU13" s="194">
        <f>SUM(Капвложения!$B17:AT17)-Амортизация!AU16</f>
        <v>0</v>
      </c>
      <c r="AV13" s="194">
        <f>SUM(Капвложения!$B17:AU17)-Амортизация!AV16</f>
        <v>0</v>
      </c>
      <c r="AW13" s="194">
        <f>SUM(Капвложения!$B17:AV17)-Амортизация!AW16</f>
        <v>0</v>
      </c>
      <c r="AX13" s="194">
        <f>SUM(Капвложения!$B17:AW17)-Амортизация!AX16</f>
        <v>0</v>
      </c>
      <c r="AY13" s="194">
        <f>SUM(Капвложения!$B17:AX17)-Амортизация!AY16</f>
        <v>0</v>
      </c>
      <c r="AZ13" s="194">
        <f>SUM(Капвложения!$B17:AY17)-Амортизация!AZ16</f>
        <v>0</v>
      </c>
      <c r="BA13" s="194">
        <f>SUM(Капвложения!$B17:AZ17)-Амортизация!BA16</f>
        <v>0</v>
      </c>
      <c r="BB13" s="194">
        <f>SUM(Капвложения!$B17:BA17)-Амортизация!BB16</f>
        <v>0</v>
      </c>
      <c r="BC13" s="194">
        <f>SUM(Капвложения!$B17:BB17)-Амортизация!BC16</f>
        <v>0</v>
      </c>
      <c r="BD13" s="194">
        <f>SUM(Капвложения!$B17:BC17)-Амортизация!BD16</f>
        <v>0</v>
      </c>
      <c r="BE13" s="194">
        <f>SUM(Капвложения!$B17:BD17)-Амортизация!BE16</f>
        <v>0</v>
      </c>
      <c r="BF13" s="194">
        <f>SUM(Капвложения!$B17:BE17)-Амортизация!BF16</f>
        <v>0</v>
      </c>
      <c r="BG13" s="194">
        <f>SUM(Капвложения!$B17:BF17)-Амортизация!BG16</f>
        <v>0</v>
      </c>
      <c r="BH13" s="194">
        <f>SUM(Капвложения!$B17:BG17)-Амортизация!BH16</f>
        <v>0</v>
      </c>
      <c r="BI13" s="194">
        <f>SUM(Капвложения!$B17:BH17)-Амортизация!BI16</f>
        <v>0</v>
      </c>
      <c r="BJ13" s="194">
        <f>SUM(Капвложения!$B17:BI17)-Амортизация!BJ16</f>
        <v>0</v>
      </c>
      <c r="BK13" s="102"/>
      <c r="BL13" s="194">
        <f t="shared" si="10"/>
        <v>0</v>
      </c>
      <c r="BM13" s="194">
        <f t="shared" si="10"/>
        <v>0</v>
      </c>
      <c r="BN13" s="194">
        <f t="shared" si="10"/>
        <v>0</v>
      </c>
      <c r="BO13" s="194">
        <f t="shared" si="10"/>
        <v>0</v>
      </c>
      <c r="BP13" s="194">
        <f t="shared" si="10"/>
        <v>0</v>
      </c>
    </row>
    <row r="14" spans="1:68">
      <c r="A14" s="201" t="s">
        <v>193</v>
      </c>
      <c r="B14" s="199"/>
      <c r="C14" s="194">
        <f>B14</f>
        <v>0</v>
      </c>
      <c r="D14" s="194">
        <f t="shared" ref="D14:BJ14" si="12">C14</f>
        <v>0</v>
      </c>
      <c r="E14" s="194">
        <f t="shared" si="12"/>
        <v>0</v>
      </c>
      <c r="F14" s="194">
        <f t="shared" si="12"/>
        <v>0</v>
      </c>
      <c r="G14" s="194">
        <f t="shared" si="12"/>
        <v>0</v>
      </c>
      <c r="H14" s="194">
        <f t="shared" si="12"/>
        <v>0</v>
      </c>
      <c r="I14" s="194">
        <f t="shared" si="12"/>
        <v>0</v>
      </c>
      <c r="J14" s="194">
        <f t="shared" si="12"/>
        <v>0</v>
      </c>
      <c r="K14" s="194">
        <f t="shared" si="12"/>
        <v>0</v>
      </c>
      <c r="L14" s="194">
        <f t="shared" si="12"/>
        <v>0</v>
      </c>
      <c r="M14" s="194">
        <f t="shared" si="12"/>
        <v>0</v>
      </c>
      <c r="N14" s="194">
        <f t="shared" si="12"/>
        <v>0</v>
      </c>
      <c r="O14" s="194">
        <f t="shared" si="12"/>
        <v>0</v>
      </c>
      <c r="P14" s="194">
        <f t="shared" si="12"/>
        <v>0</v>
      </c>
      <c r="Q14" s="194">
        <f t="shared" si="12"/>
        <v>0</v>
      </c>
      <c r="R14" s="194">
        <f t="shared" si="12"/>
        <v>0</v>
      </c>
      <c r="S14" s="194">
        <f t="shared" si="12"/>
        <v>0</v>
      </c>
      <c r="T14" s="194">
        <f t="shared" si="12"/>
        <v>0</v>
      </c>
      <c r="U14" s="194">
        <f t="shared" si="12"/>
        <v>0</v>
      </c>
      <c r="V14" s="194">
        <f t="shared" si="12"/>
        <v>0</v>
      </c>
      <c r="W14" s="194">
        <f t="shared" si="12"/>
        <v>0</v>
      </c>
      <c r="X14" s="194">
        <f t="shared" si="12"/>
        <v>0</v>
      </c>
      <c r="Y14" s="194">
        <f t="shared" si="12"/>
        <v>0</v>
      </c>
      <c r="Z14" s="194">
        <f t="shared" si="12"/>
        <v>0</v>
      </c>
      <c r="AA14" s="194">
        <f t="shared" si="12"/>
        <v>0</v>
      </c>
      <c r="AB14" s="194">
        <f t="shared" si="12"/>
        <v>0</v>
      </c>
      <c r="AC14" s="194">
        <f t="shared" si="12"/>
        <v>0</v>
      </c>
      <c r="AD14" s="194">
        <f t="shared" si="12"/>
        <v>0</v>
      </c>
      <c r="AE14" s="194">
        <f t="shared" si="12"/>
        <v>0</v>
      </c>
      <c r="AF14" s="194">
        <f t="shared" si="12"/>
        <v>0</v>
      </c>
      <c r="AG14" s="194">
        <f t="shared" si="12"/>
        <v>0</v>
      </c>
      <c r="AH14" s="194">
        <f t="shared" si="12"/>
        <v>0</v>
      </c>
      <c r="AI14" s="194">
        <f t="shared" si="12"/>
        <v>0</v>
      </c>
      <c r="AJ14" s="194">
        <f t="shared" si="12"/>
        <v>0</v>
      </c>
      <c r="AK14" s="194">
        <f t="shared" si="12"/>
        <v>0</v>
      </c>
      <c r="AL14" s="194">
        <f t="shared" si="12"/>
        <v>0</v>
      </c>
      <c r="AM14" s="194">
        <f t="shared" si="12"/>
        <v>0</v>
      </c>
      <c r="AN14" s="194">
        <f t="shared" si="12"/>
        <v>0</v>
      </c>
      <c r="AO14" s="194">
        <f t="shared" si="12"/>
        <v>0</v>
      </c>
      <c r="AP14" s="194">
        <f t="shared" si="12"/>
        <v>0</v>
      </c>
      <c r="AQ14" s="194">
        <f t="shared" si="12"/>
        <v>0</v>
      </c>
      <c r="AR14" s="194">
        <f t="shared" si="12"/>
        <v>0</v>
      </c>
      <c r="AS14" s="194">
        <f t="shared" si="12"/>
        <v>0</v>
      </c>
      <c r="AT14" s="194">
        <f t="shared" si="12"/>
        <v>0</v>
      </c>
      <c r="AU14" s="194">
        <f t="shared" si="12"/>
        <v>0</v>
      </c>
      <c r="AV14" s="194">
        <f t="shared" si="12"/>
        <v>0</v>
      </c>
      <c r="AW14" s="194">
        <f t="shared" si="12"/>
        <v>0</v>
      </c>
      <c r="AX14" s="194">
        <f t="shared" si="12"/>
        <v>0</v>
      </c>
      <c r="AY14" s="194">
        <f t="shared" si="12"/>
        <v>0</v>
      </c>
      <c r="AZ14" s="194">
        <f t="shared" si="12"/>
        <v>0</v>
      </c>
      <c r="BA14" s="194">
        <f t="shared" si="12"/>
        <v>0</v>
      </c>
      <c r="BB14" s="194">
        <f t="shared" si="12"/>
        <v>0</v>
      </c>
      <c r="BC14" s="194">
        <f t="shared" si="12"/>
        <v>0</v>
      </c>
      <c r="BD14" s="194">
        <f t="shared" si="12"/>
        <v>0</v>
      </c>
      <c r="BE14" s="194">
        <f t="shared" si="12"/>
        <v>0</v>
      </c>
      <c r="BF14" s="194">
        <f t="shared" si="12"/>
        <v>0</v>
      </c>
      <c r="BG14" s="194">
        <f t="shared" si="12"/>
        <v>0</v>
      </c>
      <c r="BH14" s="194">
        <f t="shared" si="12"/>
        <v>0</v>
      </c>
      <c r="BI14" s="194">
        <f t="shared" si="12"/>
        <v>0</v>
      </c>
      <c r="BJ14" s="194">
        <f t="shared" si="12"/>
        <v>0</v>
      </c>
      <c r="BK14" s="102"/>
      <c r="BL14" s="194">
        <f t="shared" si="10"/>
        <v>0</v>
      </c>
      <c r="BM14" s="194">
        <f t="shared" si="10"/>
        <v>0</v>
      </c>
      <c r="BN14" s="194">
        <f t="shared" si="10"/>
        <v>0</v>
      </c>
      <c r="BO14" s="194">
        <f t="shared" si="10"/>
        <v>0</v>
      </c>
      <c r="BP14" s="194">
        <f t="shared" si="10"/>
        <v>0</v>
      </c>
    </row>
    <row r="15" spans="1:68">
      <c r="A15" s="198" t="s">
        <v>194</v>
      </c>
      <c r="B15" s="199"/>
      <c r="C15" s="200">
        <f>SUM(C16:C19)</f>
        <v>36706.257326860388</v>
      </c>
      <c r="D15" s="200">
        <f t="shared" ref="D15:BJ15" si="13">SUM(D16:D19)</f>
        <v>25701.536493333337</v>
      </c>
      <c r="E15" s="200">
        <f t="shared" si="13"/>
        <v>43569.802851111112</v>
      </c>
      <c r="F15" s="200">
        <f t="shared" si="13"/>
        <v>81082.186869565412</v>
      </c>
      <c r="G15" s="200">
        <f t="shared" si="13"/>
        <v>118915.782483619</v>
      </c>
      <c r="H15" s="200">
        <f t="shared" si="13"/>
        <v>175989.47200573282</v>
      </c>
      <c r="I15" s="200">
        <f t="shared" si="13"/>
        <v>226855.45249357817</v>
      </c>
      <c r="J15" s="200">
        <f t="shared" si="13"/>
        <v>318720.7699992556</v>
      </c>
      <c r="K15" s="200">
        <f t="shared" si="13"/>
        <v>400966.13845159591</v>
      </c>
      <c r="L15" s="200">
        <f t="shared" si="13"/>
        <v>471418.79136926204</v>
      </c>
      <c r="M15" s="200">
        <f t="shared" si="13"/>
        <v>528935.34498178842</v>
      </c>
      <c r="N15" s="200">
        <f t="shared" si="13"/>
        <v>592908.00453581172</v>
      </c>
      <c r="O15" s="200">
        <f t="shared" si="13"/>
        <v>663337.39459368167</v>
      </c>
      <c r="P15" s="200">
        <f t="shared" si="13"/>
        <v>720828.6010453311</v>
      </c>
      <c r="Q15" s="200">
        <f t="shared" si="13"/>
        <v>791241.66357338941</v>
      </c>
      <c r="R15" s="200">
        <f t="shared" si="13"/>
        <v>848715.0795844614</v>
      </c>
      <c r="S15" s="200">
        <f t="shared" si="13"/>
        <v>925866.58606256498</v>
      </c>
      <c r="T15" s="200">
        <f t="shared" si="13"/>
        <v>1015145.7242347631</v>
      </c>
      <c r="U15" s="200">
        <f t="shared" si="13"/>
        <v>1060770.7064118905</v>
      </c>
      <c r="V15" s="200">
        <f t="shared" si="13"/>
        <v>1134998.5025856416</v>
      </c>
      <c r="W15" s="200">
        <f t="shared" si="13"/>
        <v>1195637.0036368091</v>
      </c>
      <c r="X15" s="200">
        <f t="shared" si="13"/>
        <v>1269845.9370876988</v>
      </c>
      <c r="Y15" s="200">
        <f t="shared" si="13"/>
        <v>1330463.8853575173</v>
      </c>
      <c r="Z15" s="200">
        <f t="shared" si="13"/>
        <v>1397862.0295301487</v>
      </c>
      <c r="AA15" s="200">
        <f t="shared" si="13"/>
        <v>1472041.1695023065</v>
      </c>
      <c r="AB15" s="200">
        <f t="shared" si="13"/>
        <v>1532626.6548632164</v>
      </c>
      <c r="AC15" s="200">
        <f t="shared" si="13"/>
        <v>1606784.8836526368</v>
      </c>
      <c r="AD15" s="200">
        <f t="shared" si="13"/>
        <v>1667347.5842348214</v>
      </c>
      <c r="AE15" s="200">
        <f t="shared" si="13"/>
        <v>1748576.8951036225</v>
      </c>
      <c r="AF15" s="200">
        <f t="shared" si="13"/>
        <v>1834382.5705515426</v>
      </c>
      <c r="AG15" s="200">
        <f t="shared" si="13"/>
        <v>1890663.5840950033</v>
      </c>
      <c r="AH15" s="200">
        <f t="shared" si="13"/>
        <v>1968821.9374417115</v>
      </c>
      <c r="AI15" s="200">
        <f t="shared" si="13"/>
        <v>2032701.8318172332</v>
      </c>
      <c r="AJ15" s="200">
        <f t="shared" si="13"/>
        <v>2110836.0270794532</v>
      </c>
      <c r="AK15" s="200">
        <f t="shared" si="13"/>
        <v>2174689.5988592417</v>
      </c>
      <c r="AL15" s="200">
        <f t="shared" si="13"/>
        <v>2245663.8914295062</v>
      </c>
      <c r="AM15" s="200">
        <f t="shared" si="13"/>
        <v>2323759.9292432126</v>
      </c>
      <c r="AN15" s="200">
        <f t="shared" si="13"/>
        <v>2387571.9247510112</v>
      </c>
      <c r="AO15" s="200">
        <f t="shared" si="13"/>
        <v>2465641.1809530146</v>
      </c>
      <c r="AP15" s="200">
        <f t="shared" si="13"/>
        <v>2529423.9952755971</v>
      </c>
      <c r="AQ15" s="200">
        <f t="shared" si="13"/>
        <v>2614911.7236111877</v>
      </c>
      <c r="AR15" s="200">
        <f t="shared" si="13"/>
        <v>2713795.1935400758</v>
      </c>
      <c r="AS15" s="200">
        <f t="shared" si="13"/>
        <v>2764491.8769585243</v>
      </c>
      <c r="AT15" s="200">
        <f t="shared" si="13"/>
        <v>2846753.2187007545</v>
      </c>
      <c r="AU15" s="200">
        <f t="shared" si="13"/>
        <v>2914009.990043622</v>
      </c>
      <c r="AV15" s="200">
        <f t="shared" si="13"/>
        <v>2996240.3917646031</v>
      </c>
      <c r="AW15" s="200">
        <f t="shared" si="13"/>
        <v>3063463.4509283565</v>
      </c>
      <c r="AX15" s="200">
        <f t="shared" si="13"/>
        <v>3138165.0906218076</v>
      </c>
      <c r="AY15" s="200">
        <f t="shared" si="13"/>
        <v>3220346.6228942028</v>
      </c>
      <c r="AZ15" s="200">
        <f t="shared" si="13"/>
        <v>3287516.4340142445</v>
      </c>
      <c r="BA15" s="200">
        <f t="shared" si="13"/>
        <v>3369663.6662312872</v>
      </c>
      <c r="BB15" s="200">
        <f t="shared" si="13"/>
        <v>3436796.1040864447</v>
      </c>
      <c r="BC15" s="200">
        <f t="shared" si="13"/>
        <v>3526724.1225260431</v>
      </c>
      <c r="BD15" s="200">
        <f t="shared" si="13"/>
        <v>3630734.0857036309</v>
      </c>
      <c r="BE15" s="200">
        <f t="shared" si="13"/>
        <v>3684108.1430722051</v>
      </c>
      <c r="BF15" s="200">
        <f t="shared" si="13"/>
        <v>3770645.5265972754</v>
      </c>
      <c r="BG15" s="200">
        <f t="shared" si="13"/>
        <v>3841412.7066964856</v>
      </c>
      <c r="BH15" s="200">
        <f t="shared" si="13"/>
        <v>3927910.4643598543</v>
      </c>
      <c r="BI15" s="200">
        <f t="shared" si="13"/>
        <v>3998634.4682072951</v>
      </c>
      <c r="BJ15" s="200">
        <f t="shared" si="13"/>
        <v>4117405.6624167711</v>
      </c>
      <c r="BK15" s="102"/>
      <c r="BL15" s="200">
        <f t="shared" si="10"/>
        <v>81082.186869565412</v>
      </c>
      <c r="BM15" s="200">
        <f t="shared" si="10"/>
        <v>848715.0795844614</v>
      </c>
      <c r="BN15" s="200">
        <f t="shared" si="10"/>
        <v>1667347.5842348214</v>
      </c>
      <c r="BO15" s="200">
        <f t="shared" si="10"/>
        <v>2529423.9952755971</v>
      </c>
      <c r="BP15" s="200">
        <f t="shared" si="10"/>
        <v>3436796.1040864447</v>
      </c>
    </row>
    <row r="16" spans="1:68">
      <c r="A16" s="201" t="s">
        <v>195</v>
      </c>
      <c r="B16" s="202"/>
      <c r="C16" s="194">
        <f>СОК!C9</f>
        <v>0</v>
      </c>
      <c r="D16" s="194">
        <f>СОК!D9</f>
        <v>0</v>
      </c>
      <c r="E16" s="194">
        <f>СОК!E9</f>
        <v>9361.1111111111113</v>
      </c>
      <c r="F16" s="194">
        <f>СОК!F9</f>
        <v>22818.76344086021</v>
      </c>
      <c r="G16" s="194">
        <f>СОК!G9</f>
        <v>38386.137096774197</v>
      </c>
      <c r="H16" s="194">
        <f>СОК!H9</f>
        <v>58471.062500000015</v>
      </c>
      <c r="I16" s="194">
        <f>СОК!I9</f>
        <v>67239.008064516136</v>
      </c>
      <c r="J16" s="194">
        <f>СОК!J9</f>
        <v>74558.458333333343</v>
      </c>
      <c r="K16" s="194">
        <f>СОК!K9</f>
        <v>72153.34677419356</v>
      </c>
      <c r="L16" s="194">
        <f>СОК!L9</f>
        <v>74558.458333333343</v>
      </c>
      <c r="M16" s="194">
        <f>СОК!M9</f>
        <v>72153.34677419356</v>
      </c>
      <c r="N16" s="194">
        <f>СОК!N9</f>
        <v>72153.34677419356</v>
      </c>
      <c r="O16" s="194">
        <f>СОК!O9</f>
        <v>74558.458333333343</v>
      </c>
      <c r="P16" s="194">
        <f>СОК!P9</f>
        <v>72153.34677419356</v>
      </c>
      <c r="Q16" s="194">
        <f>СОК!Q9</f>
        <v>74558.458333333343</v>
      </c>
      <c r="R16" s="194">
        <f>СОК!R9</f>
        <v>72153.34677419356</v>
      </c>
      <c r="S16" s="194">
        <f>СОК!S9</f>
        <v>75761.014112903242</v>
      </c>
      <c r="T16" s="194">
        <f>СОК!T9</f>
        <v>83878.265625000015</v>
      </c>
      <c r="U16" s="194">
        <f>СОК!U9</f>
        <v>75761.014112903242</v>
      </c>
      <c r="V16" s="194">
        <f>СОК!V9</f>
        <v>78286.38125000002</v>
      </c>
      <c r="W16" s="194">
        <f>СОК!W9</f>
        <v>75761.014112903242</v>
      </c>
      <c r="X16" s="194">
        <f>СОК!X9</f>
        <v>78286.38125000002</v>
      </c>
      <c r="Y16" s="194">
        <f>СОК!Y9</f>
        <v>75761.014112903242</v>
      </c>
      <c r="Z16" s="194">
        <f>СОК!Z9</f>
        <v>75761.014112903242</v>
      </c>
      <c r="AA16" s="194">
        <f>СОК!AA9</f>
        <v>78286.38125000002</v>
      </c>
      <c r="AB16" s="194">
        <f>СОК!AB9</f>
        <v>75761.014112903242</v>
      </c>
      <c r="AC16" s="194">
        <f>СОК!AC9</f>
        <v>78286.38125000002</v>
      </c>
      <c r="AD16" s="194">
        <f>СОК!AD9</f>
        <v>75761.014112903242</v>
      </c>
      <c r="AE16" s="194">
        <f>СОК!AE9</f>
        <v>79549.064818548402</v>
      </c>
      <c r="AF16" s="194">
        <f>СОК!AF9</f>
        <v>85035.2072198276</v>
      </c>
      <c r="AG16" s="194">
        <f>СОК!AG9</f>
        <v>79549.064818548402</v>
      </c>
      <c r="AH16" s="194">
        <f>СОК!AH9</f>
        <v>54207.398437500007</v>
      </c>
      <c r="AI16" s="194">
        <f>СОК!AI9</f>
        <v>52458.772681451621</v>
      </c>
      <c r="AJ16" s="194">
        <f>СОК!AJ9</f>
        <v>54207.398437500007</v>
      </c>
      <c r="AK16" s="194">
        <f>СОК!AK9</f>
        <v>53240.708165322591</v>
      </c>
      <c r="AL16" s="194">
        <f>СОК!AL9</f>
        <v>54100.837197580651</v>
      </c>
      <c r="AM16" s="194">
        <f>СОК!AM9</f>
        <v>56752.598437500012</v>
      </c>
      <c r="AN16" s="194">
        <f>СОК!AN9</f>
        <v>55742.901713709689</v>
      </c>
      <c r="AO16" s="194">
        <f>СОК!AO9</f>
        <v>58449.398437500007</v>
      </c>
      <c r="AP16" s="194">
        <f>СОК!AP9</f>
        <v>56563.933971774204</v>
      </c>
      <c r="AQ16" s="194">
        <f>СОК!AQ9</f>
        <v>59186.872605846787</v>
      </c>
      <c r="AR16" s="194">
        <f>СОК!AR9</f>
        <v>65528.323242187515</v>
      </c>
      <c r="AS16" s="194">
        <f>СОК!AS9</f>
        <v>59186.872605846787</v>
      </c>
      <c r="AT16" s="194">
        <f>СОК!AT9</f>
        <v>61159.768359375012</v>
      </c>
      <c r="AU16" s="194">
        <f>СОК!AU9</f>
        <v>59186.872605846787</v>
      </c>
      <c r="AV16" s="194">
        <f>СОК!AV9</f>
        <v>61159.768359375012</v>
      </c>
      <c r="AW16" s="194">
        <f>СОК!AW9</f>
        <v>59186.872605846787</v>
      </c>
      <c r="AX16" s="194">
        <f>СОК!AX9</f>
        <v>59392.130670362916</v>
      </c>
      <c r="AY16" s="194">
        <f>СОК!AY9</f>
        <v>61371.86835937501</v>
      </c>
      <c r="AZ16" s="194">
        <f>СОК!AZ9</f>
        <v>59392.130670362916</v>
      </c>
      <c r="BA16" s="194">
        <f>СОК!BA9</f>
        <v>61371.86835937501</v>
      </c>
      <c r="BB16" s="194">
        <f>СОК!BB9</f>
        <v>59392.130670362916</v>
      </c>
      <c r="BC16" s="194">
        <f>СОК!BC9</f>
        <v>62146.216236139153</v>
      </c>
      <c r="BD16" s="194">
        <f>СОК!BD9</f>
        <v>68804.739404296924</v>
      </c>
      <c r="BE16" s="194">
        <f>СОК!BE9</f>
        <v>62146.216236139153</v>
      </c>
      <c r="BF16" s="194">
        <f>СОК!BF9</f>
        <v>64217.756777343791</v>
      </c>
      <c r="BG16" s="194">
        <f>СОК!BG9</f>
        <v>62146.216236139153</v>
      </c>
      <c r="BH16" s="194">
        <f>СОК!BH9</f>
        <v>64217.756777343791</v>
      </c>
      <c r="BI16" s="194">
        <f>СОК!BI9</f>
        <v>62146.216236139153</v>
      </c>
      <c r="BJ16" s="194">
        <f>СОК!BJ9</f>
        <v>4551.6718056955679</v>
      </c>
      <c r="BK16" s="102"/>
      <c r="BL16" s="194">
        <f t="shared" si="10"/>
        <v>22818.76344086021</v>
      </c>
      <c r="BM16" s="194">
        <f t="shared" si="10"/>
        <v>72153.34677419356</v>
      </c>
      <c r="BN16" s="194">
        <f t="shared" si="10"/>
        <v>75761.014112903242</v>
      </c>
      <c r="BO16" s="194">
        <f t="shared" si="10"/>
        <v>56563.933971774204</v>
      </c>
      <c r="BP16" s="194">
        <f t="shared" si="10"/>
        <v>59392.130670362916</v>
      </c>
    </row>
    <row r="17" spans="1:68">
      <c r="A17" s="201" t="s">
        <v>196</v>
      </c>
      <c r="B17" s="199"/>
      <c r="C17" s="194">
        <f>Налоги!D20</f>
        <v>21623.491413333337</v>
      </c>
      <c r="D17" s="194">
        <f>Налоги!E20</f>
        <v>25701.536493333337</v>
      </c>
      <c r="E17" s="194">
        <f>Налоги!F20</f>
        <v>34208.691740000002</v>
      </c>
      <c r="F17" s="194">
        <f>Налоги!G20</f>
        <v>36421.918052361114</v>
      </c>
      <c r="G17" s="194">
        <f>Налоги!H20</f>
        <v>34662.484096522225</v>
      </c>
      <c r="H17" s="194">
        <f>Налоги!I20</f>
        <v>28821.175140683328</v>
      </c>
      <c r="I17" s="194">
        <f>Налоги!J20</f>
        <v>18897.991184844446</v>
      </c>
      <c r="J17" s="194">
        <f>Налоги!K20</f>
        <v>0</v>
      </c>
      <c r="K17" s="194">
        <f>Налоги!L20</f>
        <v>0</v>
      </c>
      <c r="L17" s="194">
        <f>Налоги!M20</f>
        <v>0</v>
      </c>
      <c r="M17" s="194">
        <f>Налоги!N20</f>
        <v>0</v>
      </c>
      <c r="N17" s="194">
        <f>Налоги!O20</f>
        <v>0</v>
      </c>
      <c r="O17" s="194">
        <f>Налоги!P20</f>
        <v>0</v>
      </c>
      <c r="P17" s="194">
        <f>Налоги!Q20</f>
        <v>0</v>
      </c>
      <c r="Q17" s="194">
        <f>Налоги!R20</f>
        <v>0</v>
      </c>
      <c r="R17" s="194">
        <f>Налоги!S20</f>
        <v>0</v>
      </c>
      <c r="S17" s="194">
        <f>Налоги!T20</f>
        <v>0</v>
      </c>
      <c r="T17" s="194">
        <f>Налоги!U20</f>
        <v>0</v>
      </c>
      <c r="U17" s="194">
        <f>Налоги!V20</f>
        <v>0</v>
      </c>
      <c r="V17" s="194">
        <f>Налоги!W20</f>
        <v>0</v>
      </c>
      <c r="W17" s="194">
        <f>Налоги!X20</f>
        <v>0</v>
      </c>
      <c r="X17" s="194">
        <f>Налоги!Y20</f>
        <v>0</v>
      </c>
      <c r="Y17" s="194">
        <f>Налоги!Z20</f>
        <v>0</v>
      </c>
      <c r="Z17" s="194">
        <f>Налоги!AA20</f>
        <v>0</v>
      </c>
      <c r="AA17" s="194">
        <f>Налоги!AB20</f>
        <v>0</v>
      </c>
      <c r="AB17" s="194">
        <f>Налоги!AC20</f>
        <v>0</v>
      </c>
      <c r="AC17" s="194">
        <f>Налоги!AD20</f>
        <v>0</v>
      </c>
      <c r="AD17" s="194">
        <f>Налоги!AE20</f>
        <v>0</v>
      </c>
      <c r="AE17" s="194">
        <f>Налоги!AF20</f>
        <v>0</v>
      </c>
      <c r="AF17" s="194">
        <f>Налоги!AG20</f>
        <v>0</v>
      </c>
      <c r="AG17" s="194">
        <f>Налоги!AH20</f>
        <v>0</v>
      </c>
      <c r="AH17" s="194">
        <f>Налоги!AI20</f>
        <v>0</v>
      </c>
      <c r="AI17" s="194">
        <f>Налоги!AJ20</f>
        <v>0</v>
      </c>
      <c r="AJ17" s="194">
        <f>Налоги!AK20</f>
        <v>0</v>
      </c>
      <c r="AK17" s="194">
        <f>Налоги!AL20</f>
        <v>0</v>
      </c>
      <c r="AL17" s="194">
        <f>Налоги!AM20</f>
        <v>0</v>
      </c>
      <c r="AM17" s="194">
        <f>Налоги!AN20</f>
        <v>0</v>
      </c>
      <c r="AN17" s="194">
        <f>Налоги!AO20</f>
        <v>0</v>
      </c>
      <c r="AO17" s="194">
        <f>Налоги!AP20</f>
        <v>0</v>
      </c>
      <c r="AP17" s="194">
        <f>Налоги!AQ20</f>
        <v>0</v>
      </c>
      <c r="AQ17" s="194">
        <f>Налоги!AR20</f>
        <v>0</v>
      </c>
      <c r="AR17" s="194">
        <f>Налоги!AS20</f>
        <v>0</v>
      </c>
      <c r="AS17" s="194">
        <f>Налоги!AT20</f>
        <v>0</v>
      </c>
      <c r="AT17" s="194">
        <f>Налоги!AU20</f>
        <v>0</v>
      </c>
      <c r="AU17" s="194">
        <f>Налоги!AV20</f>
        <v>0</v>
      </c>
      <c r="AV17" s="194">
        <f>Налоги!AW20</f>
        <v>0</v>
      </c>
      <c r="AW17" s="194">
        <f>Налоги!AX20</f>
        <v>0</v>
      </c>
      <c r="AX17" s="194">
        <f>Налоги!AY20</f>
        <v>0</v>
      </c>
      <c r="AY17" s="194">
        <f>Налоги!AZ20</f>
        <v>0</v>
      </c>
      <c r="AZ17" s="194">
        <f>Налоги!BA20</f>
        <v>0</v>
      </c>
      <c r="BA17" s="194">
        <f>Налоги!BB20</f>
        <v>0</v>
      </c>
      <c r="BB17" s="194">
        <f>Налоги!BC20</f>
        <v>0</v>
      </c>
      <c r="BC17" s="194">
        <f>Налоги!BD20</f>
        <v>0</v>
      </c>
      <c r="BD17" s="194">
        <f>Налоги!BE20</f>
        <v>0</v>
      </c>
      <c r="BE17" s="194">
        <f>Налоги!BF20</f>
        <v>0</v>
      </c>
      <c r="BF17" s="194">
        <f>Налоги!BG20</f>
        <v>0</v>
      </c>
      <c r="BG17" s="194">
        <f>Налоги!BH20</f>
        <v>0</v>
      </c>
      <c r="BH17" s="194">
        <f>Налоги!BI20</f>
        <v>0</v>
      </c>
      <c r="BI17" s="194">
        <f>Налоги!BJ20</f>
        <v>0</v>
      </c>
      <c r="BJ17" s="194">
        <f>Налоги!BK20</f>
        <v>0</v>
      </c>
      <c r="BK17" s="102"/>
      <c r="BL17" s="194">
        <f t="shared" si="10"/>
        <v>36421.918052361114</v>
      </c>
      <c r="BM17" s="194">
        <f t="shared" si="10"/>
        <v>0</v>
      </c>
      <c r="BN17" s="194">
        <f t="shared" si="10"/>
        <v>0</v>
      </c>
      <c r="BO17" s="194">
        <f t="shared" si="10"/>
        <v>0</v>
      </c>
      <c r="BP17" s="194">
        <f t="shared" si="10"/>
        <v>0</v>
      </c>
    </row>
    <row r="18" spans="1:68">
      <c r="A18" s="201" t="s">
        <v>197</v>
      </c>
      <c r="B18" s="199"/>
      <c r="C18" s="194">
        <f>СОК!C13</f>
        <v>0</v>
      </c>
      <c r="D18" s="194">
        <f>СОК!D13</f>
        <v>0</v>
      </c>
      <c r="E18" s="194">
        <f>СОК!E13</f>
        <v>0</v>
      </c>
      <c r="F18" s="194">
        <f>СОК!F13</f>
        <v>21841.505376344088</v>
      </c>
      <c r="G18" s="194">
        <f>СОК!G13</f>
        <v>45867.161290322583</v>
      </c>
      <c r="H18" s="194">
        <f>СОК!H13</f>
        <v>76172.250000000015</v>
      </c>
      <c r="I18" s="194">
        <f>СОК!I13</f>
        <v>91734.322580645166</v>
      </c>
      <c r="J18" s="194">
        <f>СОК!J13</f>
        <v>118490.16666666669</v>
      </c>
      <c r="K18" s="194">
        <f>СОК!K13</f>
        <v>114667.90322580647</v>
      </c>
      <c r="L18" s="194">
        <f>СОК!L13</f>
        <v>118490.16666666669</v>
      </c>
      <c r="M18" s="194">
        <f>СОК!M13</f>
        <v>114667.90322580647</v>
      </c>
      <c r="N18" s="194">
        <f>СОК!N13</f>
        <v>114667.90322580647</v>
      </c>
      <c r="O18" s="194">
        <f>СОК!O13</f>
        <v>118490.16666666669</v>
      </c>
      <c r="P18" s="194">
        <f>СОК!P13</f>
        <v>114667.90322580647</v>
      </c>
      <c r="Q18" s="194">
        <f>СОК!Q13</f>
        <v>118490.16666666669</v>
      </c>
      <c r="R18" s="194">
        <f>СОК!R13</f>
        <v>114667.90322580647</v>
      </c>
      <c r="S18" s="194">
        <f>СОК!S13</f>
        <v>120401.2983870968</v>
      </c>
      <c r="T18" s="194">
        <f>СОК!T13</f>
        <v>133301.43750000003</v>
      </c>
      <c r="U18" s="194">
        <f>СОК!U13</f>
        <v>120401.2983870968</v>
      </c>
      <c r="V18" s="194">
        <f>СОК!V13</f>
        <v>124414.67500000003</v>
      </c>
      <c r="W18" s="194">
        <f>СОК!W13</f>
        <v>120401.2983870968</v>
      </c>
      <c r="X18" s="194">
        <f>СОК!X13</f>
        <v>124414.67500000003</v>
      </c>
      <c r="Y18" s="194">
        <f>СОК!Y13</f>
        <v>120401.2983870968</v>
      </c>
      <c r="Z18" s="194">
        <f>СОК!Z13</f>
        <v>120401.2983870968</v>
      </c>
      <c r="AA18" s="194">
        <f>СОК!AA13</f>
        <v>124414.67500000003</v>
      </c>
      <c r="AB18" s="194">
        <f>СОК!AB13</f>
        <v>120401.2983870968</v>
      </c>
      <c r="AC18" s="194">
        <f>СОК!AC13</f>
        <v>124414.67500000003</v>
      </c>
      <c r="AD18" s="194">
        <f>СОК!AD13</f>
        <v>120401.2983870968</v>
      </c>
      <c r="AE18" s="194">
        <f>СОК!AE13</f>
        <v>126421.36330645163</v>
      </c>
      <c r="AF18" s="194">
        <f>СОК!AF13</f>
        <v>135140.07801724141</v>
      </c>
      <c r="AG18" s="194">
        <f>СОК!AG13</f>
        <v>126421.36330645163</v>
      </c>
      <c r="AH18" s="194">
        <f>СОК!AH13</f>
        <v>130635.40875000002</v>
      </c>
      <c r="AI18" s="194">
        <f>СОК!AI13</f>
        <v>126421.36330645163</v>
      </c>
      <c r="AJ18" s="194">
        <f>СОК!AJ13</f>
        <v>130635.40875000002</v>
      </c>
      <c r="AK18" s="194">
        <f>СОК!AK13</f>
        <v>126421.36330645163</v>
      </c>
      <c r="AL18" s="194">
        <f>СОК!AL13</f>
        <v>126421.36330645163</v>
      </c>
      <c r="AM18" s="194">
        <f>СОК!AM13</f>
        <v>130635.40875000002</v>
      </c>
      <c r="AN18" s="194">
        <f>СОК!AN13</f>
        <v>126421.36330645163</v>
      </c>
      <c r="AO18" s="194">
        <f>СОК!AO13</f>
        <v>130635.40875000002</v>
      </c>
      <c r="AP18" s="194">
        <f>СОК!AP13</f>
        <v>126421.36330645163</v>
      </c>
      <c r="AQ18" s="194">
        <f>СОК!AQ13</f>
        <v>132742.43147177424</v>
      </c>
      <c r="AR18" s="194">
        <f>СОК!AR13</f>
        <v>146964.83484375005</v>
      </c>
      <c r="AS18" s="194">
        <f>СОК!AS13</f>
        <v>132742.43147177424</v>
      </c>
      <c r="AT18" s="194">
        <f>СОК!AT13</f>
        <v>137167.17918750003</v>
      </c>
      <c r="AU18" s="194">
        <f>СОК!AU13</f>
        <v>132742.43147177424</v>
      </c>
      <c r="AV18" s="194">
        <f>СОК!AV13</f>
        <v>137167.17918750003</v>
      </c>
      <c r="AW18" s="194">
        <f>СОК!AW13</f>
        <v>132742.43147177424</v>
      </c>
      <c r="AX18" s="194">
        <f>СОК!AX13</f>
        <v>132742.43147177424</v>
      </c>
      <c r="AY18" s="194">
        <f>СОК!AY13</f>
        <v>137167.17918750003</v>
      </c>
      <c r="AZ18" s="194">
        <f>СОК!AZ13</f>
        <v>132742.43147177424</v>
      </c>
      <c r="BA18" s="194">
        <f>СОК!BA13</f>
        <v>137167.17918750003</v>
      </c>
      <c r="BB18" s="194">
        <f>СОК!BB13</f>
        <v>132742.43147177424</v>
      </c>
      <c r="BC18" s="194">
        <f>СОК!BC13</f>
        <v>139379.55304536299</v>
      </c>
      <c r="BD18" s="194">
        <f>СОК!BD13</f>
        <v>154313.07658593758</v>
      </c>
      <c r="BE18" s="194">
        <f>СОК!BE13</f>
        <v>139379.55304536299</v>
      </c>
      <c r="BF18" s="194">
        <f>СОК!BF13</f>
        <v>144025.53814687507</v>
      </c>
      <c r="BG18" s="194">
        <f>СОК!BG13</f>
        <v>139379.55304536299</v>
      </c>
      <c r="BH18" s="194">
        <f>СОК!BH13</f>
        <v>144025.53814687507</v>
      </c>
      <c r="BI18" s="194">
        <f>СОК!BI13</f>
        <v>139379.55304536299</v>
      </c>
      <c r="BJ18" s="194">
        <f>СОК!BJ13</f>
        <v>139379.55304536299</v>
      </c>
      <c r="BK18" s="102"/>
      <c r="BL18" s="194">
        <f t="shared" si="10"/>
        <v>21841.505376344088</v>
      </c>
      <c r="BM18" s="194">
        <f t="shared" si="10"/>
        <v>114667.90322580647</v>
      </c>
      <c r="BN18" s="194">
        <f t="shared" si="10"/>
        <v>120401.2983870968</v>
      </c>
      <c r="BO18" s="194">
        <f t="shared" si="10"/>
        <v>126421.36330645163</v>
      </c>
      <c r="BP18" s="194">
        <f t="shared" si="10"/>
        <v>132742.43147177424</v>
      </c>
    </row>
    <row r="19" spans="1:68">
      <c r="A19" s="201" t="s">
        <v>198</v>
      </c>
      <c r="B19" s="199"/>
      <c r="C19" s="194">
        <f>ОДДС!C24</f>
        <v>15082.765913527048</v>
      </c>
      <c r="D19" s="194">
        <f>ОДДС!D24</f>
        <v>0</v>
      </c>
      <c r="E19" s="194">
        <f>ОДДС!E24</f>
        <v>0</v>
      </c>
      <c r="F19" s="194">
        <f>ОДДС!F24</f>
        <v>0</v>
      </c>
      <c r="G19" s="194">
        <f>ОДДС!G24</f>
        <v>0</v>
      </c>
      <c r="H19" s="194">
        <f>ОДДС!H24</f>
        <v>12524.984365049455</v>
      </c>
      <c r="I19" s="194">
        <f>ОДДС!I24</f>
        <v>48984.130663572432</v>
      </c>
      <c r="J19" s="194">
        <f>ОДДС!J24</f>
        <v>125672.14499925556</v>
      </c>
      <c r="K19" s="194">
        <f>ОДДС!K24</f>
        <v>214144.88845159591</v>
      </c>
      <c r="L19" s="194">
        <f>ОДДС!L24</f>
        <v>278370.16636926198</v>
      </c>
      <c r="M19" s="194">
        <f>ОДДС!M24</f>
        <v>342114.09498178842</v>
      </c>
      <c r="N19" s="194">
        <f>ОДДС!N24</f>
        <v>406086.75453581172</v>
      </c>
      <c r="O19" s="194">
        <f>ОДДС!O24</f>
        <v>470288.76959368167</v>
      </c>
      <c r="P19" s="194">
        <f>ОДДС!P24</f>
        <v>534007.3510453311</v>
      </c>
      <c r="Q19" s="194">
        <f>ОДДС!Q24</f>
        <v>598193.03857338941</v>
      </c>
      <c r="R19" s="194">
        <f>ОДДС!R24</f>
        <v>661893.8295844614</v>
      </c>
      <c r="S19" s="194">
        <f>ОДДС!S24</f>
        <v>729704.27356256486</v>
      </c>
      <c r="T19" s="194">
        <f>ОДДС!T24</f>
        <v>797966.02110976307</v>
      </c>
      <c r="U19" s="194">
        <f>ОДДС!U24</f>
        <v>864608.39391189045</v>
      </c>
      <c r="V19" s="194">
        <f>ОДДС!V24</f>
        <v>932297.44633564143</v>
      </c>
      <c r="W19" s="194">
        <f>ОДДС!W24</f>
        <v>999474.69113680907</v>
      </c>
      <c r="X19" s="194">
        <f>ОДДС!X24</f>
        <v>1067144.8808376987</v>
      </c>
      <c r="Y19" s="194">
        <f>ОДДС!Y24</f>
        <v>1134301.5728575173</v>
      </c>
      <c r="Z19" s="194">
        <f>ОДДС!Z24</f>
        <v>1201699.7170301487</v>
      </c>
      <c r="AA19" s="194">
        <f>ОДДС!AA24</f>
        <v>1269340.1132523064</v>
      </c>
      <c r="AB19" s="194">
        <f>ОДДС!AB24</f>
        <v>1336464.3423632164</v>
      </c>
      <c r="AC19" s="194">
        <f>ОДДС!AC24</f>
        <v>1404083.8274026366</v>
      </c>
      <c r="AD19" s="194">
        <f>ОДДС!AD24</f>
        <v>1471185.2717348214</v>
      </c>
      <c r="AE19" s="194">
        <f>ОДДС!AE24</f>
        <v>1542606.4669786224</v>
      </c>
      <c r="AF19" s="194">
        <f>ОДДС!AF24</f>
        <v>1614207.2853144736</v>
      </c>
      <c r="AG19" s="194">
        <f>ОДДС!AG24</f>
        <v>1684693.1559700032</v>
      </c>
      <c r="AH19" s="194">
        <f>ОДДС!AH24</f>
        <v>1783979.1302542116</v>
      </c>
      <c r="AI19" s="194">
        <f>ОДДС!AI24</f>
        <v>1853821.69582933</v>
      </c>
      <c r="AJ19" s="194">
        <f>ОДДС!AJ24</f>
        <v>1925993.2198919533</v>
      </c>
      <c r="AK19" s="194">
        <f>ОДДС!AK24</f>
        <v>1995027.5273874674</v>
      </c>
      <c r="AL19" s="194">
        <f>ОДДС!AL24</f>
        <v>2065141.6909254738</v>
      </c>
      <c r="AM19" s="194">
        <f>ОДДС!AM24</f>
        <v>2136371.9220557124</v>
      </c>
      <c r="AN19" s="194">
        <f>ОДДС!AN24</f>
        <v>2205407.6597308498</v>
      </c>
      <c r="AO19" s="194">
        <f>ОДДС!AO24</f>
        <v>2276556.3737655147</v>
      </c>
      <c r="AP19" s="194">
        <f>ОДДС!AP24</f>
        <v>2346438.6979973712</v>
      </c>
      <c r="AQ19" s="194">
        <f>ОДДС!AQ24</f>
        <v>2422982.4195335666</v>
      </c>
      <c r="AR19" s="194">
        <f>ОДДС!AR24</f>
        <v>2501302.0354541382</v>
      </c>
      <c r="AS19" s="194">
        <f>ОДДС!AS24</f>
        <v>2572562.5728809033</v>
      </c>
      <c r="AT19" s="194">
        <f>ОДДС!AT24</f>
        <v>2648426.2711538794</v>
      </c>
      <c r="AU19" s="194">
        <f>ОДДС!AU24</f>
        <v>2722080.6859660009</v>
      </c>
      <c r="AV19" s="194">
        <f>ОДДС!AV24</f>
        <v>2797913.444217728</v>
      </c>
      <c r="AW19" s="194">
        <f>ОДДС!AW24</f>
        <v>2871534.1468507354</v>
      </c>
      <c r="AX19" s="194">
        <f>ОДДС!AX24</f>
        <v>2946030.5284796706</v>
      </c>
      <c r="AY19" s="194">
        <f>ОДДС!AY24</f>
        <v>3021807.5753473276</v>
      </c>
      <c r="AZ19" s="194">
        <f>ОДДС!AZ24</f>
        <v>3095381.8718721075</v>
      </c>
      <c r="BA19" s="194">
        <f>ОДДС!BA24</f>
        <v>3171124.618684412</v>
      </c>
      <c r="BB19" s="194">
        <f>ОДДС!BB24</f>
        <v>3244661.5419443077</v>
      </c>
      <c r="BC19" s="194">
        <f>ОДДС!BC24</f>
        <v>3325198.3532445407</v>
      </c>
      <c r="BD19" s="194">
        <f>ОДДС!BD24</f>
        <v>3407616.2697133967</v>
      </c>
      <c r="BE19" s="194">
        <f>ОДДС!BE24</f>
        <v>3482582.3737907028</v>
      </c>
      <c r="BF19" s="194">
        <f>ОДДС!BF24</f>
        <v>3562402.2316730567</v>
      </c>
      <c r="BG19" s="194">
        <f>ОДДС!BG24</f>
        <v>3639886.9374149833</v>
      </c>
      <c r="BH19" s="194">
        <f>ОДДС!BH24</f>
        <v>3719667.1694356357</v>
      </c>
      <c r="BI19" s="194">
        <f>ОДДС!BI24</f>
        <v>3797108.6989257927</v>
      </c>
      <c r="BJ19" s="194">
        <f>ОДДС!BJ24</f>
        <v>3973474.4375657127</v>
      </c>
      <c r="BK19" s="102"/>
      <c r="BL19" s="194">
        <f t="shared" si="10"/>
        <v>0</v>
      </c>
      <c r="BM19" s="194">
        <f t="shared" si="10"/>
        <v>661893.8295844614</v>
      </c>
      <c r="BN19" s="194">
        <f t="shared" si="10"/>
        <v>1471185.2717348214</v>
      </c>
      <c r="BO19" s="194">
        <f t="shared" si="10"/>
        <v>2346438.6979973712</v>
      </c>
      <c r="BP19" s="194">
        <f t="shared" si="10"/>
        <v>3244661.5419443077</v>
      </c>
    </row>
    <row r="20" spans="1:68">
      <c r="A20" s="124" t="s">
        <v>199</v>
      </c>
      <c r="B20" s="124"/>
      <c r="C20" s="197">
        <f>C21+C24</f>
        <v>144774.33649352705</v>
      </c>
      <c r="D20" s="197">
        <f t="shared" ref="D20:BJ20" si="14">D21+D24</f>
        <v>154110.46316000001</v>
      </c>
      <c r="E20" s="197">
        <f t="shared" si="14"/>
        <v>185539.2945177778</v>
      </c>
      <c r="F20" s="197">
        <f t="shared" si="14"/>
        <v>222280.63647604693</v>
      </c>
      <c r="G20" s="197">
        <f t="shared" si="14"/>
        <v>259343.19002991536</v>
      </c>
      <c r="H20" s="197">
        <f t="shared" si="14"/>
        <v>315645.83749184397</v>
      </c>
      <c r="I20" s="197">
        <f t="shared" si="14"/>
        <v>365740.77591950411</v>
      </c>
      <c r="J20" s="197">
        <f t="shared" si="14"/>
        <v>456835.05136499635</v>
      </c>
      <c r="K20" s="197">
        <f t="shared" si="14"/>
        <v>538309.37775715149</v>
      </c>
      <c r="L20" s="197">
        <f t="shared" si="14"/>
        <v>607990.9886146324</v>
      </c>
      <c r="M20" s="197">
        <f t="shared" si="14"/>
        <v>664736.50016697368</v>
      </c>
      <c r="N20" s="197">
        <f t="shared" si="14"/>
        <v>727938.11766081187</v>
      </c>
      <c r="O20" s="197">
        <f t="shared" si="14"/>
        <v>797596.4656584966</v>
      </c>
      <c r="P20" s="197">
        <f t="shared" si="14"/>
        <v>854316.6300499608</v>
      </c>
      <c r="Q20" s="197">
        <f t="shared" si="14"/>
        <v>923958.65051783388</v>
      </c>
      <c r="R20" s="197">
        <f t="shared" si="14"/>
        <v>980661.02446872077</v>
      </c>
      <c r="S20" s="197">
        <f t="shared" si="14"/>
        <v>1057041.488886639</v>
      </c>
      <c r="T20" s="197">
        <f t="shared" si="14"/>
        <v>1145549.5849986521</v>
      </c>
      <c r="U20" s="197">
        <f t="shared" si="14"/>
        <v>1190403.5251155943</v>
      </c>
      <c r="V20" s="197">
        <f t="shared" si="14"/>
        <v>1263860.2792291599</v>
      </c>
      <c r="W20" s="197">
        <f t="shared" si="14"/>
        <v>1323727.7382201424</v>
      </c>
      <c r="X20" s="197">
        <f t="shared" si="14"/>
        <v>1397165.6296108468</v>
      </c>
      <c r="Y20" s="197">
        <f t="shared" si="14"/>
        <v>1457012.5358204802</v>
      </c>
      <c r="Z20" s="197">
        <f t="shared" si="14"/>
        <v>1523639.6379329264</v>
      </c>
      <c r="AA20" s="197">
        <f t="shared" si="14"/>
        <v>1597047.735844899</v>
      </c>
      <c r="AB20" s="197">
        <f t="shared" si="14"/>
        <v>1656862.1791456239</v>
      </c>
      <c r="AC20" s="197">
        <f t="shared" si="14"/>
        <v>1730249.365874859</v>
      </c>
      <c r="AD20" s="197">
        <f t="shared" si="14"/>
        <v>1790041.0243968586</v>
      </c>
      <c r="AE20" s="197">
        <f t="shared" si="14"/>
        <v>1870499.2932054743</v>
      </c>
      <c r="AF20" s="197">
        <f t="shared" si="14"/>
        <v>1955533.9265932092</v>
      </c>
      <c r="AG20" s="197">
        <f t="shared" si="14"/>
        <v>2011043.8980764847</v>
      </c>
      <c r="AH20" s="197">
        <f t="shared" si="14"/>
        <v>2088431.2093630079</v>
      </c>
      <c r="AI20" s="197">
        <f t="shared" si="14"/>
        <v>2151540.0616783444</v>
      </c>
      <c r="AJ20" s="197">
        <f t="shared" si="14"/>
        <v>2228903.2148803794</v>
      </c>
      <c r="AK20" s="197">
        <f t="shared" si="14"/>
        <v>2291985.7445999826</v>
      </c>
      <c r="AL20" s="197">
        <f t="shared" si="14"/>
        <v>2362188.995110062</v>
      </c>
      <c r="AM20" s="197">
        <f t="shared" si="14"/>
        <v>2439513.9908635831</v>
      </c>
      <c r="AN20" s="197">
        <f t="shared" si="14"/>
        <v>2502554.944311196</v>
      </c>
      <c r="AO20" s="197">
        <f t="shared" si="14"/>
        <v>2579853.1584530147</v>
      </c>
      <c r="AP20" s="197">
        <f t="shared" si="14"/>
        <v>2642864.9307154124</v>
      </c>
      <c r="AQ20" s="197">
        <f t="shared" si="14"/>
        <v>2727581.6169908177</v>
      </c>
      <c r="AR20" s="197">
        <f t="shared" si="14"/>
        <v>2825694.0448595202</v>
      </c>
      <c r="AS20" s="197">
        <f t="shared" si="14"/>
        <v>2875619.6862177844</v>
      </c>
      <c r="AT20" s="197">
        <f t="shared" si="14"/>
        <v>2957109.9858998293</v>
      </c>
      <c r="AU20" s="197">
        <f t="shared" si="14"/>
        <v>3023595.7151825116</v>
      </c>
      <c r="AV20" s="197">
        <f t="shared" si="14"/>
        <v>3105055.074843307</v>
      </c>
      <c r="AW20" s="197">
        <f t="shared" si="14"/>
        <v>3171507.0919468752</v>
      </c>
      <c r="AX20" s="197">
        <f t="shared" si="14"/>
        <v>3245437.6895801416</v>
      </c>
      <c r="AY20" s="197">
        <f t="shared" si="14"/>
        <v>3326848.1797923511</v>
      </c>
      <c r="AZ20" s="197">
        <f t="shared" si="14"/>
        <v>3393246.9488522075</v>
      </c>
      <c r="BA20" s="197">
        <f t="shared" si="14"/>
        <v>3474623.1390090655</v>
      </c>
      <c r="BB20" s="197">
        <f t="shared" si="14"/>
        <v>3540984.5348040382</v>
      </c>
      <c r="BC20" s="197">
        <f t="shared" si="14"/>
        <v>3630141.5111834514</v>
      </c>
      <c r="BD20" s="197">
        <f t="shared" si="14"/>
        <v>3733380.432300854</v>
      </c>
      <c r="BE20" s="197">
        <f t="shared" si="14"/>
        <v>3785983.4476092434</v>
      </c>
      <c r="BF20" s="197">
        <f t="shared" si="14"/>
        <v>3871749.7890741285</v>
      </c>
      <c r="BG20" s="197">
        <f t="shared" si="14"/>
        <v>3941745.927113153</v>
      </c>
      <c r="BH20" s="197">
        <f t="shared" si="14"/>
        <v>4027472.6427163375</v>
      </c>
      <c r="BI20" s="197">
        <f t="shared" si="14"/>
        <v>4097425.6045035925</v>
      </c>
      <c r="BJ20" s="197">
        <f t="shared" si="14"/>
        <v>4215425.7566528833</v>
      </c>
      <c r="BK20" s="102"/>
      <c r="BL20" s="197">
        <f t="shared" ref="BL20:BP20" si="15">BL21+BL24</f>
        <v>222280.63647604693</v>
      </c>
      <c r="BM20" s="197">
        <f t="shared" si="15"/>
        <v>980661.02446872077</v>
      </c>
      <c r="BN20" s="197">
        <f t="shared" si="15"/>
        <v>1790041.0243968586</v>
      </c>
      <c r="BO20" s="197">
        <f t="shared" si="15"/>
        <v>2642864.9307154124</v>
      </c>
      <c r="BP20" s="197">
        <f t="shared" si="15"/>
        <v>3540984.5348040382</v>
      </c>
    </row>
    <row r="21" spans="1:68">
      <c r="A21" s="198" t="s">
        <v>200</v>
      </c>
      <c r="B21" s="202"/>
      <c r="C21" s="200">
        <f>C22+C23</f>
        <v>-4820.3078999999998</v>
      </c>
      <c r="D21" s="200">
        <f t="shared" ref="D21:BJ21" si="16">D22+D23</f>
        <v>5848.2760853791333</v>
      </c>
      <c r="E21" s="200">
        <f t="shared" si="16"/>
        <v>9654.6245171612827</v>
      </c>
      <c r="F21" s="200">
        <f t="shared" si="16"/>
        <v>15140.700115918269</v>
      </c>
      <c r="G21" s="200">
        <f t="shared" si="16"/>
        <v>21182.793530244948</v>
      </c>
      <c r="H21" s="200">
        <f t="shared" si="16"/>
        <v>36200.974351226265</v>
      </c>
      <c r="I21" s="200">
        <f t="shared" si="16"/>
        <v>71658.039639050141</v>
      </c>
      <c r="J21" s="200">
        <f t="shared" si="16"/>
        <v>142174.3327567736</v>
      </c>
      <c r="K21" s="200">
        <f t="shared" si="16"/>
        <v>206898.91378510991</v>
      </c>
      <c r="L21" s="200">
        <f t="shared" si="16"/>
        <v>271647.03918779898</v>
      </c>
      <c r="M21" s="200">
        <f t="shared" si="16"/>
        <v>336419.19947263994</v>
      </c>
      <c r="N21" s="200">
        <f t="shared" si="16"/>
        <v>401215.89536634414</v>
      </c>
      <c r="O21" s="200">
        <f t="shared" si="16"/>
        <v>466037.63802742964</v>
      </c>
      <c r="P21" s="200">
        <f t="shared" si="16"/>
        <v>530884.94926355022</v>
      </c>
      <c r="Q21" s="200">
        <f t="shared" si="16"/>
        <v>595758.36175335245</v>
      </c>
      <c r="R21" s="200">
        <f t="shared" si="16"/>
        <v>660658.41927295469</v>
      </c>
      <c r="S21" s="200">
        <f t="shared" si="16"/>
        <v>729121.44232569193</v>
      </c>
      <c r="T21" s="200">
        <f t="shared" si="16"/>
        <v>797612.23218248726</v>
      </c>
      <c r="U21" s="200">
        <f t="shared" si="16"/>
        <v>866131.36731842521</v>
      </c>
      <c r="V21" s="200">
        <f t="shared" si="16"/>
        <v>934679.43826015457</v>
      </c>
      <c r="W21" s="200">
        <f t="shared" si="16"/>
        <v>1003257.0478369626</v>
      </c>
      <c r="X21" s="200">
        <f t="shared" si="16"/>
        <v>1071864.8114370801</v>
      </c>
      <c r="Y21" s="200">
        <f t="shared" si="16"/>
        <v>1140503.3572693265</v>
      </c>
      <c r="Z21" s="200">
        <f t="shared" si="16"/>
        <v>1209173.3266302038</v>
      </c>
      <c r="AA21" s="200">
        <f t="shared" si="16"/>
        <v>1277875.3741765588</v>
      </c>
      <c r="AB21" s="200">
        <f t="shared" si="16"/>
        <v>1346610.1682039222</v>
      </c>
      <c r="AC21" s="200">
        <f t="shared" si="16"/>
        <v>1415378.3909306484</v>
      </c>
      <c r="AD21" s="200">
        <f t="shared" si="16"/>
        <v>1484180.7387879742</v>
      </c>
      <c r="AE21" s="200">
        <f t="shared" si="16"/>
        <v>1556735.3111891553</v>
      </c>
      <c r="AF21" s="200">
        <f t="shared" si="16"/>
        <v>1629325.4454126323</v>
      </c>
      <c r="AG21" s="200">
        <f t="shared" si="16"/>
        <v>1701951.8823297028</v>
      </c>
      <c r="AH21" s="200">
        <f t="shared" si="16"/>
        <v>1774615.3782464834</v>
      </c>
      <c r="AI21" s="200">
        <f t="shared" si="16"/>
        <v>1847316.7052254681</v>
      </c>
      <c r="AJ21" s="200">
        <f t="shared" si="16"/>
        <v>1920056.6514137862</v>
      </c>
      <c r="AK21" s="200">
        <f t="shared" si="16"/>
        <v>1992836.0213782988</v>
      </c>
      <c r="AL21" s="200">
        <f t="shared" si="16"/>
        <v>2065655.6364476765</v>
      </c>
      <c r="AM21" s="200">
        <f t="shared" si="16"/>
        <v>2138516.3350616042</v>
      </c>
      <c r="AN21" s="200">
        <f t="shared" si="16"/>
        <v>2211418.9731272589</v>
      </c>
      <c r="AO21" s="200">
        <f t="shared" si="16"/>
        <v>2284364.4243832203</v>
      </c>
      <c r="AP21" s="200">
        <f t="shared" si="16"/>
        <v>2357353.5807709517</v>
      </c>
      <c r="AQ21" s="200">
        <f t="shared" si="16"/>
        <v>2434295.5905594165</v>
      </c>
      <c r="AR21" s="200">
        <f t="shared" si="16"/>
        <v>2511283.145496049</v>
      </c>
      <c r="AS21" s="200">
        <f t="shared" si="16"/>
        <v>2588317.1944381045</v>
      </c>
      <c r="AT21" s="200">
        <f t="shared" si="16"/>
        <v>2665398.7060106946</v>
      </c>
      <c r="AU21" s="200">
        <f t="shared" si="16"/>
        <v>2742528.6690186234</v>
      </c>
      <c r="AV21" s="200">
        <f t="shared" si="16"/>
        <v>2819708.0928667923</v>
      </c>
      <c r="AW21" s="200">
        <f t="shared" si="16"/>
        <v>2896938.007989374</v>
      </c>
      <c r="AX21" s="200">
        <f t="shared" si="16"/>
        <v>2974219.4662879184</v>
      </c>
      <c r="AY21" s="200">
        <f t="shared" si="16"/>
        <v>3051553.5415785909</v>
      </c>
      <c r="AZ21" s="200">
        <f t="shared" si="16"/>
        <v>3128941.3300487287</v>
      </c>
      <c r="BA21" s="200">
        <f t="shared" si="16"/>
        <v>3206383.9507229039</v>
      </c>
      <c r="BB21" s="200">
        <f t="shared" si="16"/>
        <v>3283882.5459386995</v>
      </c>
      <c r="BC21" s="200">
        <f t="shared" si="16"/>
        <v>3365547.060709211</v>
      </c>
      <c r="BD21" s="200">
        <f t="shared" si="16"/>
        <v>3447269.9065884165</v>
      </c>
      <c r="BE21" s="200">
        <f t="shared" si="16"/>
        <v>3529052.2988077486</v>
      </c>
      <c r="BF21" s="200">
        <f t="shared" si="16"/>
        <v>3610895.4779159576</v>
      </c>
      <c r="BG21" s="200">
        <f t="shared" si="16"/>
        <v>3692800.7103065634</v>
      </c>
      <c r="BH21" s="200">
        <f t="shared" si="16"/>
        <v>3774769.288756283</v>
      </c>
      <c r="BI21" s="200">
        <f t="shared" si="16"/>
        <v>3856802.53297468</v>
      </c>
      <c r="BJ21" s="200">
        <f t="shared" si="16"/>
        <v>4077342.4442775734</v>
      </c>
      <c r="BK21" s="102"/>
      <c r="BL21" s="200">
        <f t="shared" ref="BL21:BP26" si="17">SUMIF($C$3:$BJ$3,BL$3,$C21:$BJ21)</f>
        <v>15140.700115918269</v>
      </c>
      <c r="BM21" s="200">
        <f t="shared" si="17"/>
        <v>660658.41927295469</v>
      </c>
      <c r="BN21" s="200">
        <f t="shared" si="17"/>
        <v>1484180.7387879742</v>
      </c>
      <c r="BO21" s="200">
        <f t="shared" si="17"/>
        <v>2357353.5807709517</v>
      </c>
      <c r="BP21" s="200">
        <f t="shared" si="17"/>
        <v>3283882.5459386995</v>
      </c>
    </row>
    <row r="22" spans="1:68">
      <c r="A22" s="201" t="s">
        <v>201</v>
      </c>
      <c r="B22" s="203"/>
      <c r="C22" s="194">
        <f>(ОДДС!C23)+B22</f>
        <v>0</v>
      </c>
      <c r="D22" s="194">
        <f>(ОДДС!D23)+C22</f>
        <v>15462.27316649428</v>
      </c>
      <c r="E22" s="194">
        <f>(ОДДС!E23)+D22</f>
        <v>52960.970837196612</v>
      </c>
      <c r="F22" s="194">
        <f>(ОДДС!F23)+E22</f>
        <v>83454.948678096058</v>
      </c>
      <c r="G22" s="194">
        <f>(ОДДС!G23)+F22</f>
        <v>94917.14350426686</v>
      </c>
      <c r="H22" s="194">
        <f>(ОДДС!H23)+G22</f>
        <v>94917.14350426686</v>
      </c>
      <c r="I22" s="194">
        <f>(ОДДС!I23)+H22</f>
        <v>94917.14350426686</v>
      </c>
      <c r="J22" s="194">
        <f>(ОДДС!J23)+I22</f>
        <v>94917.14350426686</v>
      </c>
      <c r="K22" s="194">
        <f>(ОДДС!K23)+J22</f>
        <v>94917.14350426686</v>
      </c>
      <c r="L22" s="194">
        <f>(ОДДС!L23)+K22</f>
        <v>94917.14350426686</v>
      </c>
      <c r="M22" s="194">
        <f>(ОДДС!M23)+L22</f>
        <v>94917.14350426686</v>
      </c>
      <c r="N22" s="194">
        <f>(ОДДС!N23)+M22</f>
        <v>94917.14350426686</v>
      </c>
      <c r="O22" s="194">
        <f>(ОДДС!O23)+N22</f>
        <v>94917.14350426686</v>
      </c>
      <c r="P22" s="194">
        <f>(ОДДС!P23)+O22</f>
        <v>94917.14350426686</v>
      </c>
      <c r="Q22" s="194">
        <f>(ОДДС!Q23)+P22</f>
        <v>94917.14350426686</v>
      </c>
      <c r="R22" s="194">
        <f>(ОДДС!R23)+Q22</f>
        <v>94917.14350426686</v>
      </c>
      <c r="S22" s="194">
        <f>(ОДДС!S23)+R22</f>
        <v>94917.14350426686</v>
      </c>
      <c r="T22" s="194">
        <f>(ОДДС!T23)+S22</f>
        <v>94917.14350426686</v>
      </c>
      <c r="U22" s="194">
        <f>(ОДДС!U23)+T22</f>
        <v>94917.14350426686</v>
      </c>
      <c r="V22" s="194">
        <f>(ОДДС!V23)+U22</f>
        <v>94917.14350426686</v>
      </c>
      <c r="W22" s="194">
        <f>(ОДДС!W23)+V22</f>
        <v>94917.14350426686</v>
      </c>
      <c r="X22" s="194">
        <f>(ОДДС!X23)+W22</f>
        <v>94917.14350426686</v>
      </c>
      <c r="Y22" s="194">
        <f>(ОДДС!Y23)+X22</f>
        <v>94917.14350426686</v>
      </c>
      <c r="Z22" s="194">
        <f>(ОДДС!Z23)+Y22</f>
        <v>94917.14350426686</v>
      </c>
      <c r="AA22" s="194">
        <f>(ОДДС!AA23)+Z22</f>
        <v>94917.14350426686</v>
      </c>
      <c r="AB22" s="194">
        <f>(ОДДС!AB23)+AA22</f>
        <v>94917.14350426686</v>
      </c>
      <c r="AC22" s="194">
        <f>(ОДДС!AC23)+AB22</f>
        <v>94917.14350426686</v>
      </c>
      <c r="AD22" s="194">
        <f>(ОДДС!AD23)+AC22</f>
        <v>94917.14350426686</v>
      </c>
      <c r="AE22" s="194">
        <f>(ОДДС!AE23)+AD22</f>
        <v>94917.14350426686</v>
      </c>
      <c r="AF22" s="194">
        <f>(ОДДС!AF23)+AE22</f>
        <v>94917.14350426686</v>
      </c>
      <c r="AG22" s="194">
        <f>(ОДДС!AG23)+AF22</f>
        <v>94917.14350426686</v>
      </c>
      <c r="AH22" s="194">
        <f>(ОДДС!AH23)+AG22</f>
        <v>94917.14350426686</v>
      </c>
      <c r="AI22" s="194">
        <f>(ОДДС!AI23)+AH22</f>
        <v>94917.14350426686</v>
      </c>
      <c r="AJ22" s="194">
        <f>(ОДДС!AJ23)+AI22</f>
        <v>94917.14350426686</v>
      </c>
      <c r="AK22" s="194">
        <f>(ОДДС!AK23)+AJ22</f>
        <v>94917.14350426686</v>
      </c>
      <c r="AL22" s="194">
        <f>(ОДДС!AL23)+AK22</f>
        <v>94917.14350426686</v>
      </c>
      <c r="AM22" s="194">
        <f>(ОДДС!AM23)+AL22</f>
        <v>94917.14350426686</v>
      </c>
      <c r="AN22" s="194">
        <f>(ОДДС!AN23)+AM22</f>
        <v>94917.14350426686</v>
      </c>
      <c r="AO22" s="194">
        <f>(ОДДС!AO23)+AN22</f>
        <v>94917.14350426686</v>
      </c>
      <c r="AP22" s="194">
        <f>(ОДДС!AP23)+AO22</f>
        <v>94917.14350426686</v>
      </c>
      <c r="AQ22" s="194">
        <f>(ОДДС!AQ23)+AP22</f>
        <v>94917.14350426686</v>
      </c>
      <c r="AR22" s="194">
        <f>(ОДДС!AR23)+AQ22</f>
        <v>94917.14350426686</v>
      </c>
      <c r="AS22" s="194">
        <f>(ОДДС!AS23)+AR22</f>
        <v>94917.14350426686</v>
      </c>
      <c r="AT22" s="194">
        <f>(ОДДС!AT23)+AS22</f>
        <v>94917.14350426686</v>
      </c>
      <c r="AU22" s="194">
        <f>(ОДДС!AU23)+AT22</f>
        <v>94917.14350426686</v>
      </c>
      <c r="AV22" s="194">
        <f>(ОДДС!AV23)+AU22</f>
        <v>94917.14350426686</v>
      </c>
      <c r="AW22" s="194">
        <f>(ОДДС!AW23)+AV22</f>
        <v>94917.14350426686</v>
      </c>
      <c r="AX22" s="194">
        <f>(ОДДС!AX23)+AW22</f>
        <v>94917.14350426686</v>
      </c>
      <c r="AY22" s="194">
        <f>(ОДДС!AY23)+AX22</f>
        <v>94917.14350426686</v>
      </c>
      <c r="AZ22" s="194">
        <f>(ОДДС!AZ23)+AY22</f>
        <v>94917.14350426686</v>
      </c>
      <c r="BA22" s="194">
        <f>(ОДДС!BA23)+AZ22</f>
        <v>94917.14350426686</v>
      </c>
      <c r="BB22" s="194">
        <f>(ОДДС!BB23)+BA22</f>
        <v>94917.14350426686</v>
      </c>
      <c r="BC22" s="194">
        <f>(ОДДС!BC23)+BB22</f>
        <v>94917.14350426686</v>
      </c>
      <c r="BD22" s="194">
        <f>(ОДДС!BD23)+BC22</f>
        <v>94917.14350426686</v>
      </c>
      <c r="BE22" s="194">
        <f>(ОДДС!BE23)+BD22</f>
        <v>94917.14350426686</v>
      </c>
      <c r="BF22" s="194">
        <f>(ОДДС!BF23)+BE22</f>
        <v>94917.14350426686</v>
      </c>
      <c r="BG22" s="194">
        <f>(ОДДС!BG23)+BF22</f>
        <v>94917.14350426686</v>
      </c>
      <c r="BH22" s="194">
        <f>(ОДДС!BH23)+BG22</f>
        <v>94917.14350426686</v>
      </c>
      <c r="BI22" s="194">
        <f>(ОДДС!BI23)+BH22</f>
        <v>94917.14350426686</v>
      </c>
      <c r="BJ22" s="194">
        <f>(ОДДС!BJ23)+BI22</f>
        <v>94917.14350426686</v>
      </c>
      <c r="BK22" s="102"/>
      <c r="BL22" s="194">
        <f t="shared" si="17"/>
        <v>83454.948678096058</v>
      </c>
      <c r="BM22" s="194">
        <f t="shared" si="17"/>
        <v>94917.14350426686</v>
      </c>
      <c r="BN22" s="194">
        <f t="shared" si="17"/>
        <v>94917.14350426686</v>
      </c>
      <c r="BO22" s="194">
        <f t="shared" si="17"/>
        <v>94917.14350426686</v>
      </c>
      <c r="BP22" s="194">
        <f t="shared" si="17"/>
        <v>94917.14350426686</v>
      </c>
    </row>
    <row r="23" spans="1:68">
      <c r="A23" s="201" t="s">
        <v>202</v>
      </c>
      <c r="B23" s="203"/>
      <c r="C23" s="194">
        <f>B23+ОПУ!B19</f>
        <v>-4820.3078999999998</v>
      </c>
      <c r="D23" s="194">
        <f>C23+ОПУ!C19</f>
        <v>-9613.997081115147</v>
      </c>
      <c r="E23" s="194">
        <f>D23+ОПУ!D19</f>
        <v>-43306.346320035329</v>
      </c>
      <c r="F23" s="194">
        <f>E23+ОПУ!E19</f>
        <v>-68314.248562177789</v>
      </c>
      <c r="G23" s="194">
        <f>F23+ОПУ!F19</f>
        <v>-73734.349974021912</v>
      </c>
      <c r="H23" s="194">
        <f>G23+ОПУ!G19</f>
        <v>-58716.169153040595</v>
      </c>
      <c r="I23" s="194">
        <f>H23+ОПУ!H19</f>
        <v>-23259.103865216726</v>
      </c>
      <c r="J23" s="194">
        <f>I23+ОПУ!I19</f>
        <v>47257.189252506745</v>
      </c>
      <c r="K23" s="194">
        <f>J23+ОПУ!J19</f>
        <v>111981.77028084305</v>
      </c>
      <c r="L23" s="194">
        <f>K23+ОПУ!K19</f>
        <v>176729.89568353214</v>
      </c>
      <c r="M23" s="194">
        <f>L23+ОПУ!L19</f>
        <v>241502.05596837305</v>
      </c>
      <c r="N23" s="194">
        <f>M23+ОПУ!M19</f>
        <v>306298.75186207728</v>
      </c>
      <c r="O23" s="194">
        <f>N23+ОПУ!N19</f>
        <v>371120.49452316278</v>
      </c>
      <c r="P23" s="194">
        <f>O23+ОПУ!O19</f>
        <v>435967.80575928336</v>
      </c>
      <c r="Q23" s="194">
        <f>P23+ОПУ!P19</f>
        <v>500841.21824908559</v>
      </c>
      <c r="R23" s="194">
        <f>Q23+ОПУ!Q19</f>
        <v>565741.27576868783</v>
      </c>
      <c r="S23" s="194">
        <f>R23+ОПУ!R19</f>
        <v>634204.29882142507</v>
      </c>
      <c r="T23" s="194">
        <f>S23+ОПУ!S19</f>
        <v>702695.0886782204</v>
      </c>
      <c r="U23" s="194">
        <f>T23+ОПУ!T19</f>
        <v>771214.22381415835</v>
      </c>
      <c r="V23" s="194">
        <f>U23+ОПУ!U19</f>
        <v>839762.29475588771</v>
      </c>
      <c r="W23" s="194">
        <f>V23+ОПУ!V19</f>
        <v>908339.90433269576</v>
      </c>
      <c r="X23" s="194">
        <f>W23+ОПУ!W19</f>
        <v>976947.66793281341</v>
      </c>
      <c r="Y23" s="194">
        <f>X23+ОПУ!X19</f>
        <v>1045586.2137650596</v>
      </c>
      <c r="Z23" s="194">
        <f>Y23+ОПУ!Y19</f>
        <v>1114256.1831259369</v>
      </c>
      <c r="AA23" s="194">
        <f>Z23+ОПУ!Z19</f>
        <v>1182958.2306722919</v>
      </c>
      <c r="AB23" s="194">
        <f>AA23+ОПУ!AA19</f>
        <v>1251693.0246996554</v>
      </c>
      <c r="AC23" s="194">
        <f>AB23+ОПУ!AB19</f>
        <v>1320461.2474263816</v>
      </c>
      <c r="AD23" s="194">
        <f>AC23+ОПУ!AC19</f>
        <v>1389263.5952837074</v>
      </c>
      <c r="AE23" s="194">
        <f>AD23+ОПУ!AD19</f>
        <v>1461818.1676848885</v>
      </c>
      <c r="AF23" s="194">
        <f>AE23+ОПУ!AE19</f>
        <v>1534408.3019083655</v>
      </c>
      <c r="AG23" s="194">
        <f>AF23+ОПУ!AF19</f>
        <v>1607034.738825436</v>
      </c>
      <c r="AH23" s="194">
        <f>AG23+ОПУ!AG19</f>
        <v>1679698.2347422165</v>
      </c>
      <c r="AI23" s="194">
        <f>AH23+ОПУ!AH19</f>
        <v>1752399.5617212013</v>
      </c>
      <c r="AJ23" s="194">
        <f>AI23+ОПУ!AI19</f>
        <v>1825139.5079095194</v>
      </c>
      <c r="AK23" s="194">
        <f>AJ23+ОПУ!AJ19</f>
        <v>1897918.8778740319</v>
      </c>
      <c r="AL23" s="194">
        <f>AK23+ОПУ!AK19</f>
        <v>1970738.4929434096</v>
      </c>
      <c r="AM23" s="194">
        <f>AL23+ОПУ!AL19</f>
        <v>2043599.1915573371</v>
      </c>
      <c r="AN23" s="194">
        <f>AM23+ОПУ!AM19</f>
        <v>2116501.8296229923</v>
      </c>
      <c r="AO23" s="194">
        <f>AN23+ОПУ!AN19</f>
        <v>2189447.2808789536</v>
      </c>
      <c r="AP23" s="194">
        <f>AO23+ОПУ!AO19</f>
        <v>2262436.4372666851</v>
      </c>
      <c r="AQ23" s="194">
        <f>AP23+ОПУ!AP19</f>
        <v>2339378.4470551494</v>
      </c>
      <c r="AR23" s="194">
        <f>AQ23+ОПУ!AQ19</f>
        <v>2416366.0019917823</v>
      </c>
      <c r="AS23" s="194">
        <f>AR23+ОПУ!AR19</f>
        <v>2493400.0509338374</v>
      </c>
      <c r="AT23" s="194">
        <f>AS23+ОПУ!AS19</f>
        <v>2570481.562506428</v>
      </c>
      <c r="AU23" s="194">
        <f>AT23+ОПУ!AT19</f>
        <v>2647611.5255143563</v>
      </c>
      <c r="AV23" s="194">
        <f>AU23+ОПУ!AU19</f>
        <v>2724790.9493625253</v>
      </c>
      <c r="AW23" s="194">
        <f>AV23+ОПУ!AV19</f>
        <v>2802020.8644851069</v>
      </c>
      <c r="AX23" s="194">
        <f>AW23+ОПУ!AW19</f>
        <v>2879302.3227836513</v>
      </c>
      <c r="AY23" s="194">
        <f>AX23+ОПУ!AX19</f>
        <v>2956636.3980743242</v>
      </c>
      <c r="AZ23" s="194">
        <f>AY23+ОПУ!AY19</f>
        <v>3034024.1865444621</v>
      </c>
      <c r="BA23" s="194">
        <f>AZ23+ОПУ!AZ19</f>
        <v>3111466.8072186369</v>
      </c>
      <c r="BB23" s="194">
        <f>BA23+ОПУ!BA19</f>
        <v>3188965.4024344324</v>
      </c>
      <c r="BC23" s="194">
        <f>BB23+ОПУ!BB19</f>
        <v>3270629.917204944</v>
      </c>
      <c r="BD23" s="194">
        <f>BC23+ОПУ!BC19</f>
        <v>3352352.7630841499</v>
      </c>
      <c r="BE23" s="194">
        <f>BD23+ОПУ!BD19</f>
        <v>3434135.1553034815</v>
      </c>
      <c r="BF23" s="194">
        <f>BE23+ОПУ!BE19</f>
        <v>3515978.3344116909</v>
      </c>
      <c r="BG23" s="194">
        <f>BF23+ОПУ!BF19</f>
        <v>3597883.5668022968</v>
      </c>
      <c r="BH23" s="194">
        <f>BG23+ОПУ!BG19</f>
        <v>3679852.1452520159</v>
      </c>
      <c r="BI23" s="194">
        <f>BH23+ОПУ!BH19</f>
        <v>3761885.3894704129</v>
      </c>
      <c r="BJ23" s="194">
        <f>BI23+ОПУ!BI19</f>
        <v>3982425.3007733067</v>
      </c>
      <c r="BK23" s="102"/>
      <c r="BL23" s="194">
        <f t="shared" si="17"/>
        <v>-68314.248562177789</v>
      </c>
      <c r="BM23" s="194">
        <f t="shared" si="17"/>
        <v>565741.27576868783</v>
      </c>
      <c r="BN23" s="194">
        <f t="shared" si="17"/>
        <v>1389263.5952837074</v>
      </c>
      <c r="BO23" s="194">
        <f t="shared" si="17"/>
        <v>2262436.4372666851</v>
      </c>
      <c r="BP23" s="194">
        <f t="shared" si="17"/>
        <v>3188965.4024344324</v>
      </c>
    </row>
    <row r="24" spans="1:68">
      <c r="A24" s="198" t="s">
        <v>203</v>
      </c>
      <c r="B24" s="204"/>
      <c r="C24" s="200">
        <f>C25+C26</f>
        <v>149594.64439352704</v>
      </c>
      <c r="D24" s="200">
        <f t="shared" ref="D24:BJ24" si="18">D25+D26</f>
        <v>148262.18707462089</v>
      </c>
      <c r="E24" s="200">
        <f t="shared" si="18"/>
        <v>175884.67000061652</v>
      </c>
      <c r="F24" s="200">
        <f t="shared" si="18"/>
        <v>207139.93636012866</v>
      </c>
      <c r="G24" s="200">
        <f t="shared" si="18"/>
        <v>238160.3964996704</v>
      </c>
      <c r="H24" s="200">
        <f t="shared" si="18"/>
        <v>279444.86314061767</v>
      </c>
      <c r="I24" s="200">
        <f t="shared" si="18"/>
        <v>294082.73628045397</v>
      </c>
      <c r="J24" s="200">
        <f t="shared" si="18"/>
        <v>314660.71860822273</v>
      </c>
      <c r="K24" s="200">
        <f t="shared" si="18"/>
        <v>331410.46397204162</v>
      </c>
      <c r="L24" s="200">
        <f t="shared" si="18"/>
        <v>336343.94942683342</v>
      </c>
      <c r="M24" s="200">
        <f t="shared" si="18"/>
        <v>328317.30069433374</v>
      </c>
      <c r="N24" s="200">
        <f t="shared" si="18"/>
        <v>326722.22229446768</v>
      </c>
      <c r="O24" s="200">
        <f t="shared" si="18"/>
        <v>331558.82763106696</v>
      </c>
      <c r="P24" s="200">
        <f t="shared" si="18"/>
        <v>323431.68078641058</v>
      </c>
      <c r="Q24" s="200">
        <f t="shared" si="18"/>
        <v>328200.28876448143</v>
      </c>
      <c r="R24" s="200">
        <f t="shared" si="18"/>
        <v>320002.60519576608</v>
      </c>
      <c r="S24" s="200">
        <f t="shared" si="18"/>
        <v>327920.04656094708</v>
      </c>
      <c r="T24" s="200">
        <f t="shared" si="18"/>
        <v>347937.35281616478</v>
      </c>
      <c r="U24" s="200">
        <f t="shared" si="18"/>
        <v>324272.15779716906</v>
      </c>
      <c r="V24" s="200">
        <f t="shared" si="18"/>
        <v>329180.84096900542</v>
      </c>
      <c r="W24" s="200">
        <f t="shared" si="18"/>
        <v>320470.69038317987</v>
      </c>
      <c r="X24" s="200">
        <f t="shared" si="18"/>
        <v>325300.8181737666</v>
      </c>
      <c r="Y24" s="200">
        <f t="shared" si="18"/>
        <v>316509.1785511538</v>
      </c>
      <c r="Z24" s="200">
        <f t="shared" si="18"/>
        <v>314466.31130272278</v>
      </c>
      <c r="AA24" s="200">
        <f t="shared" si="18"/>
        <v>319172.36166834022</v>
      </c>
      <c r="AB24" s="200">
        <f t="shared" si="18"/>
        <v>310252.01094170182</v>
      </c>
      <c r="AC24" s="200">
        <f t="shared" si="18"/>
        <v>314870.97494421061</v>
      </c>
      <c r="AD24" s="200">
        <f t="shared" si="18"/>
        <v>305860.28560888435</v>
      </c>
      <c r="AE24" s="200">
        <f t="shared" si="18"/>
        <v>313763.98201631889</v>
      </c>
      <c r="AF24" s="200">
        <f t="shared" si="18"/>
        <v>326208.48118057684</v>
      </c>
      <c r="AG24" s="200">
        <f t="shared" si="18"/>
        <v>309092.01574678184</v>
      </c>
      <c r="AH24" s="200">
        <f t="shared" si="18"/>
        <v>313815.83111652452</v>
      </c>
      <c r="AI24" s="200">
        <f t="shared" si="18"/>
        <v>304223.35645287629</v>
      </c>
      <c r="AJ24" s="200">
        <f t="shared" si="18"/>
        <v>308846.56346659304</v>
      </c>
      <c r="AK24" s="200">
        <f t="shared" si="18"/>
        <v>299149.72322168387</v>
      </c>
      <c r="AL24" s="200">
        <f t="shared" si="18"/>
        <v>296533.35866238561</v>
      </c>
      <c r="AM24" s="200">
        <f t="shared" si="18"/>
        <v>300997.65580197907</v>
      </c>
      <c r="AN24" s="200">
        <f t="shared" si="18"/>
        <v>291135.97118393728</v>
      </c>
      <c r="AO24" s="200">
        <f t="shared" si="18"/>
        <v>295488.73406979459</v>
      </c>
      <c r="AP24" s="200">
        <f t="shared" si="18"/>
        <v>285511.3499444605</v>
      </c>
      <c r="AQ24" s="200">
        <f t="shared" si="18"/>
        <v>293286.02643140138</v>
      </c>
      <c r="AR24" s="200">
        <f t="shared" si="18"/>
        <v>314410.89936347143</v>
      </c>
      <c r="AS24" s="200">
        <f t="shared" si="18"/>
        <v>287302.49177967972</v>
      </c>
      <c r="AT24" s="200">
        <f t="shared" si="18"/>
        <v>291711.27988913446</v>
      </c>
      <c r="AU24" s="200">
        <f t="shared" si="18"/>
        <v>281067.04616388824</v>
      </c>
      <c r="AV24" s="200">
        <f t="shared" si="18"/>
        <v>285346.9819765148</v>
      </c>
      <c r="AW24" s="200">
        <f t="shared" si="18"/>
        <v>274569.08395750134</v>
      </c>
      <c r="AX24" s="200">
        <f t="shared" si="18"/>
        <v>271218.22329222324</v>
      </c>
      <c r="AY24" s="200">
        <f t="shared" si="18"/>
        <v>275294.63821376004</v>
      </c>
      <c r="AZ24" s="200">
        <f t="shared" si="18"/>
        <v>264305.61880347895</v>
      </c>
      <c r="BA24" s="200">
        <f t="shared" si="18"/>
        <v>268239.18828616157</v>
      </c>
      <c r="BB24" s="200">
        <f t="shared" si="18"/>
        <v>257101.9888653387</v>
      </c>
      <c r="BC24" s="200">
        <f t="shared" si="18"/>
        <v>264594.45047424024</v>
      </c>
      <c r="BD24" s="200">
        <f t="shared" si="18"/>
        <v>286110.52571243758</v>
      </c>
      <c r="BE24" s="200">
        <f t="shared" si="18"/>
        <v>256931.14880149486</v>
      </c>
      <c r="BF24" s="200">
        <f t="shared" si="18"/>
        <v>260854.31115817081</v>
      </c>
      <c r="BG24" s="200">
        <f t="shared" si="18"/>
        <v>248945.21680658957</v>
      </c>
      <c r="BH24" s="200">
        <f t="shared" si="18"/>
        <v>252703.35396005458</v>
      </c>
      <c r="BI24" s="200">
        <f t="shared" si="18"/>
        <v>240623.0715289127</v>
      </c>
      <c r="BJ24" s="200">
        <f t="shared" si="18"/>
        <v>138083.31237531026</v>
      </c>
      <c r="BK24" s="102"/>
      <c r="BL24" s="200">
        <f t="shared" si="17"/>
        <v>207139.93636012866</v>
      </c>
      <c r="BM24" s="200">
        <f t="shared" si="17"/>
        <v>320002.60519576608</v>
      </c>
      <c r="BN24" s="200">
        <f t="shared" si="17"/>
        <v>305860.28560888435</v>
      </c>
      <c r="BO24" s="200">
        <f t="shared" si="17"/>
        <v>285511.3499444605</v>
      </c>
      <c r="BP24" s="200">
        <f t="shared" si="17"/>
        <v>257101.9888653387</v>
      </c>
    </row>
    <row r="25" spans="1:68">
      <c r="A25" s="201" t="s">
        <v>204</v>
      </c>
      <c r="B25" s="203"/>
      <c r="C25" s="194">
        <f>Кредиты!C28</f>
        <v>148722.30149352705</v>
      </c>
      <c r="D25" s="194">
        <f>Кредиты!D28</f>
        <v>147417.98426816927</v>
      </c>
      <c r="E25" s="194">
        <f>Кредиты!E28</f>
        <v>146086.49376728319</v>
      </c>
      <c r="F25" s="194">
        <f>Кредиты!F28</f>
        <v>144727.26388096198</v>
      </c>
      <c r="G25" s="194">
        <f>Кредиты!G28</f>
        <v>143339.71670534241</v>
      </c>
      <c r="H25" s="194">
        <f>Кредиты!H28</f>
        <v>141923.26229689742</v>
      </c>
      <c r="I25" s="194">
        <f>Кредиты!I28</f>
        <v>140477.29842160983</v>
      </c>
      <c r="J25" s="194">
        <f>Кредиты!J28</f>
        <v>139001.21029892043</v>
      </c>
      <c r="K25" s="194">
        <f>Кредиты!K28</f>
        <v>137494.37034034167</v>
      </c>
      <c r="L25" s="194">
        <f>Кредиты!L28</f>
        <v>135956.13788262586</v>
      </c>
      <c r="M25" s="194">
        <f>Кредиты!M28</f>
        <v>134385.85891537429</v>
      </c>
      <c r="N25" s="194">
        <f>Кредиты!N28</f>
        <v>132782.86580297165</v>
      </c>
      <c r="O25" s="194">
        <f>Кредиты!O28</f>
        <v>131146.47700072729</v>
      </c>
      <c r="P25" s="194">
        <f>Кредиты!P28</f>
        <v>129475.99676510283</v>
      </c>
      <c r="Q25" s="194">
        <f>Кредиты!Q28</f>
        <v>127770.71485790286</v>
      </c>
      <c r="R25" s="194">
        <f>Кредиты!R28</f>
        <v>126029.9062443029</v>
      </c>
      <c r="S25" s="194">
        <f>Кредиты!S28</f>
        <v>124252.83078458626</v>
      </c>
      <c r="T25" s="194">
        <f>Кредиты!T28</f>
        <v>122438.73291945887</v>
      </c>
      <c r="U25" s="194">
        <f>Кредиты!U28</f>
        <v>120586.84134880798</v>
      </c>
      <c r="V25" s="194">
        <f>Кредиты!V28</f>
        <v>118696.36870376854</v>
      </c>
      <c r="W25" s="194">
        <f>Кредиты!W28</f>
        <v>116766.51121195745</v>
      </c>
      <c r="X25" s="194">
        <f>Кредиты!X28</f>
        <v>114796.44835573362</v>
      </c>
      <c r="Y25" s="194">
        <f>Кредиты!Y28</f>
        <v>112785.34252333846</v>
      </c>
      <c r="Z25" s="194">
        <f>Кредиты!Z28</f>
        <v>110732.33865276841</v>
      </c>
      <c r="AA25" s="194">
        <f>Кредиты!AA28</f>
        <v>108636.56386822814</v>
      </c>
      <c r="AB25" s="194">
        <f>Кредиты!AB28</f>
        <v>106497.12710900996</v>
      </c>
      <c r="AC25" s="194">
        <f>Кредиты!AC28</f>
        <v>104313.1187506414</v>
      </c>
      <c r="AD25" s="194">
        <f>Кредиты!AD28</f>
        <v>102083.61021814015</v>
      </c>
      <c r="AE25" s="194">
        <f>Кредиты!AE28</f>
        <v>99807.653591211798</v>
      </c>
      <c r="AF25" s="194">
        <f>Кредиты!AF28</f>
        <v>97484.281201222431</v>
      </c>
      <c r="AG25" s="194">
        <f>Кредиты!AG28</f>
        <v>95112.505219774961</v>
      </c>
      <c r="AH25" s="194">
        <f>Кредиты!AH28</f>
        <v>92691.317238713993</v>
      </c>
      <c r="AI25" s="194">
        <f>Кредиты!AI28</f>
        <v>90219.687841380932</v>
      </c>
      <c r="AJ25" s="194">
        <f>Кредиты!AJ28</f>
        <v>87696.566164936754</v>
      </c>
      <c r="AK25" s="194">
        <f>Кредиты!AK28</f>
        <v>85120.879453566668</v>
      </c>
      <c r="AL25" s="194">
        <f>Кредиты!AL28</f>
        <v>82491.532602376363</v>
      </c>
      <c r="AM25" s="194">
        <f>Кредиты!AM28</f>
        <v>79807.407691786269</v>
      </c>
      <c r="AN25" s="194">
        <f>Кредиты!AN28</f>
        <v>77067.363512225536</v>
      </c>
      <c r="AO25" s="194">
        <f>Кредиты!AO28</f>
        <v>74270.235078923957</v>
      </c>
      <c r="AP25" s="194">
        <f>Кредиты!AP28</f>
        <v>71414.833136595262</v>
      </c>
      <c r="AQ25" s="194">
        <f>Кредиты!AQ28</f>
        <v>68499.943653801383</v>
      </c>
      <c r="AR25" s="194">
        <f>Кредиты!AR28</f>
        <v>65524.327306782638</v>
      </c>
      <c r="AS25" s="194">
        <f>Кредиты!AS28</f>
        <v>62486.718952534335</v>
      </c>
      <c r="AT25" s="194">
        <f>Кредиты!AT28</f>
        <v>59385.827090905863</v>
      </c>
      <c r="AU25" s="194">
        <f>Кредиты!AU28</f>
        <v>56220.333315493459</v>
      </c>
      <c r="AV25" s="194">
        <f>Кредиты!AV28</f>
        <v>52988.891753093296</v>
      </c>
      <c r="AW25" s="194">
        <f>Кредиты!AW28</f>
        <v>49690.128491476469</v>
      </c>
      <c r="AX25" s="194">
        <f>Кредиты!AX28</f>
        <v>46322.640995242618</v>
      </c>
      <c r="AY25" s="194">
        <f>Кредиты!AY28</f>
        <v>42884.997509503897</v>
      </c>
      <c r="AZ25" s="194">
        <f>Кредиты!AZ28</f>
        <v>39375.736451145625</v>
      </c>
      <c r="BA25" s="194">
        <f>Кредиты!BA28</f>
        <v>35793.365787404888</v>
      </c>
      <c r="BB25" s="194">
        <f>Кредиты!BB28</f>
        <v>32136.362401502884</v>
      </c>
      <c r="BC25" s="194">
        <f>Кредиты!BC28</f>
        <v>28403.171445061253</v>
      </c>
      <c r="BD25" s="194">
        <f>Кредиты!BD28</f>
        <v>24592.205677027086</v>
      </c>
      <c r="BE25" s="194">
        <f>Кредиты!BE28</f>
        <v>20701.844788825543</v>
      </c>
      <c r="BF25" s="194">
        <f>Кредиты!BF28</f>
        <v>16730.434715453135</v>
      </c>
      <c r="BG25" s="194">
        <f>Кредиты!BG28</f>
        <v>12676.286932218802</v>
      </c>
      <c r="BH25" s="194">
        <f>Кредиты!BH28</f>
        <v>8537.6777368337534</v>
      </c>
      <c r="BI25" s="194">
        <f>Кредиты!BI28</f>
        <v>4312.8475165448508</v>
      </c>
      <c r="BJ25" s="194">
        <f>Кредиты!BJ28</f>
        <v>0</v>
      </c>
      <c r="BK25" s="102"/>
      <c r="BL25" s="194">
        <f t="shared" si="17"/>
        <v>144727.26388096198</v>
      </c>
      <c r="BM25" s="194">
        <f t="shared" si="17"/>
        <v>126029.9062443029</v>
      </c>
      <c r="BN25" s="194">
        <f t="shared" si="17"/>
        <v>102083.61021814015</v>
      </c>
      <c r="BO25" s="194">
        <f t="shared" si="17"/>
        <v>71414.833136595262</v>
      </c>
      <c r="BP25" s="194">
        <f t="shared" si="17"/>
        <v>32136.362401502884</v>
      </c>
    </row>
    <row r="26" spans="1:68">
      <c r="A26" s="201" t="s">
        <v>205</v>
      </c>
      <c r="B26" s="179"/>
      <c r="C26" s="194">
        <f>СОК!C14</f>
        <v>872.34289999999987</v>
      </c>
      <c r="D26" s="194">
        <f>СОК!D14</f>
        <v>844.20280645161279</v>
      </c>
      <c r="E26" s="194">
        <f>СОК!E14</f>
        <v>29798.176233333332</v>
      </c>
      <c r="F26" s="194">
        <f>СОК!F14</f>
        <v>62412.672479166678</v>
      </c>
      <c r="G26" s="194">
        <f>СОК!G14</f>
        <v>94820.679794327982</v>
      </c>
      <c r="H26" s="194">
        <f>СОК!H14</f>
        <v>137521.60084372025</v>
      </c>
      <c r="I26" s="194">
        <f>СОК!I14</f>
        <v>153605.43785884415</v>
      </c>
      <c r="J26" s="194">
        <f>СОК!J14</f>
        <v>175659.5083093023</v>
      </c>
      <c r="K26" s="194">
        <f>СОК!K14</f>
        <v>193916.09363169991</v>
      </c>
      <c r="L26" s="194">
        <f>СОК!L14</f>
        <v>200387.81154420754</v>
      </c>
      <c r="M26" s="194">
        <f>СОК!M14</f>
        <v>193931.44177895947</v>
      </c>
      <c r="N26" s="194">
        <f>СОК!N14</f>
        <v>193939.35649149603</v>
      </c>
      <c r="O26" s="194">
        <f>СОК!O14</f>
        <v>200412.35063033967</v>
      </c>
      <c r="P26" s="194">
        <f>СОК!P14</f>
        <v>193955.68402130774</v>
      </c>
      <c r="Q26" s="194">
        <f>СОК!Q14</f>
        <v>200429.57390657856</v>
      </c>
      <c r="R26" s="194">
        <f>СОК!R14</f>
        <v>193972.69895146316</v>
      </c>
      <c r="S26" s="194">
        <f>СОК!S14</f>
        <v>203667.21577636083</v>
      </c>
      <c r="T26" s="194">
        <f>СОК!T14</f>
        <v>225498.61989670593</v>
      </c>
      <c r="U26" s="194">
        <f>СОК!U14</f>
        <v>203685.31644836106</v>
      </c>
      <c r="V26" s="194">
        <f>СОК!V14</f>
        <v>210484.47226523689</v>
      </c>
      <c r="W26" s="194">
        <f>СОК!W14</f>
        <v>203704.17917122241</v>
      </c>
      <c r="X26" s="194">
        <f>СОК!X14</f>
        <v>210504.36981803301</v>
      </c>
      <c r="Y26" s="194">
        <f>СОК!Y14</f>
        <v>203723.83602781533</v>
      </c>
      <c r="Z26" s="194">
        <f>СОК!Z14</f>
        <v>203733.9726499544</v>
      </c>
      <c r="AA26" s="194">
        <f>СОК!AA14</f>
        <v>210535.79780011208</v>
      </c>
      <c r="AB26" s="194">
        <f>СОК!AB14</f>
        <v>203754.88383269185</v>
      </c>
      <c r="AC26" s="194">
        <f>СОК!AC14</f>
        <v>210557.8561935692</v>
      </c>
      <c r="AD26" s="194">
        <f>СОК!AD14</f>
        <v>203776.6753907442</v>
      </c>
      <c r="AE26" s="194">
        <f>СОК!AE14</f>
        <v>213956.32842510709</v>
      </c>
      <c r="AF26" s="194">
        <f>СОК!AF14</f>
        <v>228724.19997935442</v>
      </c>
      <c r="AG26" s="194">
        <f>СОК!AG14</f>
        <v>213979.51052700687</v>
      </c>
      <c r="AH26" s="194">
        <f>СОК!AH14</f>
        <v>221124.5138778105</v>
      </c>
      <c r="AI26" s="194">
        <f>СОК!AI14</f>
        <v>214003.66861149535</v>
      </c>
      <c r="AJ26" s="194">
        <f>СОК!AJ14</f>
        <v>221149.99730165632</v>
      </c>
      <c r="AK26" s="194">
        <f>СОК!AK14</f>
        <v>214028.84376811719</v>
      </c>
      <c r="AL26" s="194">
        <f>СОК!AL14</f>
        <v>214041.82606000922</v>
      </c>
      <c r="AM26" s="194">
        <f>СОК!AM14</f>
        <v>221190.2481101928</v>
      </c>
      <c r="AN26" s="194">
        <f>СОК!AN14</f>
        <v>214068.60767171174</v>
      </c>
      <c r="AO26" s="194">
        <f>СОК!AO14</f>
        <v>221218.49899087063</v>
      </c>
      <c r="AP26" s="194">
        <f>СОК!AP14</f>
        <v>214096.51680786524</v>
      </c>
      <c r="AQ26" s="194">
        <f>СОК!AQ14</f>
        <v>224786.08277759998</v>
      </c>
      <c r="AR26" s="194">
        <f>СОК!AR14</f>
        <v>248886.57205668878</v>
      </c>
      <c r="AS26" s="194">
        <f>СОК!AS14</f>
        <v>224815.77282714541</v>
      </c>
      <c r="AT26" s="194">
        <f>СОК!AT14</f>
        <v>232325.45279822859</v>
      </c>
      <c r="AU26" s="194">
        <f>СОК!AU14</f>
        <v>224846.71284839479</v>
      </c>
      <c r="AV26" s="194">
        <f>СОК!AV14</f>
        <v>232358.09022342152</v>
      </c>
      <c r="AW26" s="194">
        <f>СОК!AW14</f>
        <v>224878.95546602487</v>
      </c>
      <c r="AX26" s="194">
        <f>СОК!AX14</f>
        <v>224895.5822969806</v>
      </c>
      <c r="AY26" s="194">
        <f>СОК!AY14</f>
        <v>232409.64070425616</v>
      </c>
      <c r="AZ26" s="194">
        <f>СОК!AZ14</f>
        <v>224929.88235233331</v>
      </c>
      <c r="BA26" s="194">
        <f>СОК!BA14</f>
        <v>232445.82249875666</v>
      </c>
      <c r="BB26" s="194">
        <f>СОК!BB14</f>
        <v>224965.62646383583</v>
      </c>
      <c r="BC26" s="194">
        <f>СОК!BC14</f>
        <v>236191.27902917899</v>
      </c>
      <c r="BD26" s="194">
        <f>СОК!BD14</f>
        <v>261518.32003541046</v>
      </c>
      <c r="BE26" s="194">
        <f>СОК!BE14</f>
        <v>236229.30401266931</v>
      </c>
      <c r="BF26" s="194">
        <f>СОК!BF14</f>
        <v>244123.87644271768</v>
      </c>
      <c r="BG26" s="194">
        <f>СОК!BG14</f>
        <v>236268.92987437078</v>
      </c>
      <c r="BH26" s="194">
        <f>СОК!BH14</f>
        <v>244165.67622322083</v>
      </c>
      <c r="BI26" s="194">
        <f>СОК!BI14</f>
        <v>236310.22401236783</v>
      </c>
      <c r="BJ26" s="194">
        <f>СОК!BJ14</f>
        <v>138083.31237531026</v>
      </c>
      <c r="BK26" s="102"/>
      <c r="BL26" s="194">
        <f t="shared" si="17"/>
        <v>62412.672479166678</v>
      </c>
      <c r="BM26" s="194">
        <f t="shared" si="17"/>
        <v>193972.69895146316</v>
      </c>
      <c r="BN26" s="194">
        <f t="shared" si="17"/>
        <v>203776.6753907442</v>
      </c>
      <c r="BO26" s="194">
        <f t="shared" si="17"/>
        <v>214096.51680786524</v>
      </c>
      <c r="BP26" s="194">
        <f t="shared" si="17"/>
        <v>224965.62646383583</v>
      </c>
    </row>
    <row r="27" spans="1:68">
      <c r="A27" s="205"/>
      <c r="B27" s="102"/>
      <c r="C27" s="206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02"/>
      <c r="AN27" s="102"/>
      <c r="AO27" s="102"/>
      <c r="AP27" s="102"/>
      <c r="AQ27" s="102"/>
      <c r="AR27" s="102"/>
      <c r="AS27" s="102"/>
      <c r="AT27" s="102"/>
      <c r="AU27" s="102"/>
      <c r="AV27" s="102"/>
      <c r="AW27" s="102"/>
      <c r="AX27" s="102"/>
      <c r="AY27" s="102"/>
      <c r="AZ27" s="102"/>
      <c r="BA27" s="102"/>
      <c r="BB27" s="102"/>
      <c r="BC27" s="102"/>
      <c r="BD27" s="102"/>
      <c r="BE27" s="102"/>
      <c r="BF27" s="102"/>
      <c r="BG27" s="102"/>
      <c r="BH27" s="102"/>
      <c r="BI27" s="102"/>
      <c r="BJ27" s="102"/>
      <c r="BK27" s="102"/>
      <c r="BL27" s="102"/>
      <c r="BM27" s="102"/>
      <c r="BN27" s="102"/>
      <c r="BO27" s="102"/>
      <c r="BP27" s="102"/>
    </row>
    <row r="28" spans="1:68">
      <c r="A28" s="124" t="s">
        <v>206</v>
      </c>
      <c r="B28" s="124"/>
      <c r="C28" s="197">
        <f>ROUND(C9-C20,0)</f>
        <v>0</v>
      </c>
      <c r="D28" s="197">
        <f>ROUND(D9-D20,0)</f>
        <v>0</v>
      </c>
      <c r="E28" s="197">
        <f t="shared" ref="E28:BJ28" si="19">ROUND(E9-E20,0)</f>
        <v>0</v>
      </c>
      <c r="F28" s="197">
        <f t="shared" si="19"/>
        <v>0</v>
      </c>
      <c r="G28" s="197">
        <f t="shared" si="19"/>
        <v>0</v>
      </c>
      <c r="H28" s="197">
        <f t="shared" si="19"/>
        <v>0</v>
      </c>
      <c r="I28" s="197">
        <f t="shared" si="19"/>
        <v>0</v>
      </c>
      <c r="J28" s="197">
        <f t="shared" si="19"/>
        <v>0</v>
      </c>
      <c r="K28" s="197">
        <f t="shared" si="19"/>
        <v>0</v>
      </c>
      <c r="L28" s="197">
        <f t="shared" si="19"/>
        <v>0</v>
      </c>
      <c r="M28" s="197">
        <f t="shared" si="19"/>
        <v>0</v>
      </c>
      <c r="N28" s="197">
        <f t="shared" si="19"/>
        <v>0</v>
      </c>
      <c r="O28" s="197">
        <f t="shared" si="19"/>
        <v>0</v>
      </c>
      <c r="P28" s="197">
        <f t="shared" si="19"/>
        <v>0</v>
      </c>
      <c r="Q28" s="197">
        <f t="shared" si="19"/>
        <v>0</v>
      </c>
      <c r="R28" s="197">
        <f t="shared" si="19"/>
        <v>0</v>
      </c>
      <c r="S28" s="197">
        <f t="shared" si="19"/>
        <v>0</v>
      </c>
      <c r="T28" s="197">
        <f t="shared" si="19"/>
        <v>0</v>
      </c>
      <c r="U28" s="197">
        <f t="shared" si="19"/>
        <v>0</v>
      </c>
      <c r="V28" s="197">
        <f t="shared" si="19"/>
        <v>0</v>
      </c>
      <c r="W28" s="197">
        <f t="shared" si="19"/>
        <v>0</v>
      </c>
      <c r="X28" s="197">
        <f t="shared" si="19"/>
        <v>0</v>
      </c>
      <c r="Y28" s="197">
        <f t="shared" si="19"/>
        <v>0</v>
      </c>
      <c r="Z28" s="197">
        <f t="shared" si="19"/>
        <v>0</v>
      </c>
      <c r="AA28" s="197">
        <f t="shared" si="19"/>
        <v>0</v>
      </c>
      <c r="AB28" s="197">
        <f t="shared" si="19"/>
        <v>0</v>
      </c>
      <c r="AC28" s="197">
        <f t="shared" si="19"/>
        <v>0</v>
      </c>
      <c r="AD28" s="197">
        <f t="shared" si="19"/>
        <v>0</v>
      </c>
      <c r="AE28" s="197">
        <f t="shared" si="19"/>
        <v>0</v>
      </c>
      <c r="AF28" s="197">
        <f t="shared" si="19"/>
        <v>0</v>
      </c>
      <c r="AG28" s="197">
        <f t="shared" si="19"/>
        <v>0</v>
      </c>
      <c r="AH28" s="197">
        <f t="shared" si="19"/>
        <v>0</v>
      </c>
      <c r="AI28" s="197">
        <f t="shared" si="19"/>
        <v>0</v>
      </c>
      <c r="AJ28" s="197">
        <f t="shared" si="19"/>
        <v>0</v>
      </c>
      <c r="AK28" s="197">
        <f t="shared" si="19"/>
        <v>0</v>
      </c>
      <c r="AL28" s="197">
        <f t="shared" si="19"/>
        <v>0</v>
      </c>
      <c r="AM28" s="197">
        <f t="shared" si="19"/>
        <v>0</v>
      </c>
      <c r="AN28" s="197">
        <f t="shared" si="19"/>
        <v>0</v>
      </c>
      <c r="AO28" s="197">
        <f t="shared" si="19"/>
        <v>0</v>
      </c>
      <c r="AP28" s="197">
        <f t="shared" si="19"/>
        <v>0</v>
      </c>
      <c r="AQ28" s="197">
        <f t="shared" si="19"/>
        <v>0</v>
      </c>
      <c r="AR28" s="197">
        <f t="shared" si="19"/>
        <v>0</v>
      </c>
      <c r="AS28" s="197">
        <f t="shared" si="19"/>
        <v>0</v>
      </c>
      <c r="AT28" s="197">
        <f t="shared" si="19"/>
        <v>0</v>
      </c>
      <c r="AU28" s="197">
        <f t="shared" si="19"/>
        <v>0</v>
      </c>
      <c r="AV28" s="197">
        <f t="shared" si="19"/>
        <v>0</v>
      </c>
      <c r="AW28" s="197">
        <f t="shared" si="19"/>
        <v>0</v>
      </c>
      <c r="AX28" s="197">
        <f t="shared" si="19"/>
        <v>0</v>
      </c>
      <c r="AY28" s="197">
        <f t="shared" si="19"/>
        <v>0</v>
      </c>
      <c r="AZ28" s="197">
        <f t="shared" si="19"/>
        <v>0</v>
      </c>
      <c r="BA28" s="197">
        <f t="shared" si="19"/>
        <v>0</v>
      </c>
      <c r="BB28" s="197">
        <f t="shared" si="19"/>
        <v>0</v>
      </c>
      <c r="BC28" s="197">
        <f t="shared" si="19"/>
        <v>0</v>
      </c>
      <c r="BD28" s="197">
        <f t="shared" si="19"/>
        <v>0</v>
      </c>
      <c r="BE28" s="197">
        <f t="shared" si="19"/>
        <v>0</v>
      </c>
      <c r="BF28" s="197">
        <f t="shared" si="19"/>
        <v>0</v>
      </c>
      <c r="BG28" s="197">
        <f t="shared" si="19"/>
        <v>0</v>
      </c>
      <c r="BH28" s="197">
        <f t="shared" si="19"/>
        <v>0</v>
      </c>
      <c r="BI28" s="197">
        <f t="shared" si="19"/>
        <v>0</v>
      </c>
      <c r="BJ28" s="197">
        <f t="shared" si="19"/>
        <v>0</v>
      </c>
      <c r="BK28" s="102"/>
      <c r="BL28" s="197">
        <f>ROUND(BL9-BL20,0)</f>
        <v>0</v>
      </c>
      <c r="BM28" s="197">
        <f>ROUND(BM9-BM20,0)</f>
        <v>0</v>
      </c>
      <c r="BN28" s="197">
        <f>ROUND(BN9-BN20,0)</f>
        <v>0</v>
      </c>
      <c r="BO28" s="197">
        <f>ROUND(BO9-BO20,0)</f>
        <v>0</v>
      </c>
      <c r="BP28" s="197">
        <f>ROUND(BP9-BP20,0)</f>
        <v>0</v>
      </c>
    </row>
    <row r="29" spans="1:68">
      <c r="A29" s="205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02"/>
      <c r="AV29" s="102"/>
      <c r="AW29" s="102"/>
      <c r="AX29" s="102"/>
      <c r="AY29" s="102"/>
      <c r="AZ29" s="102"/>
      <c r="BA29" s="102"/>
      <c r="BB29" s="102"/>
      <c r="BC29" s="102"/>
      <c r="BD29" s="102"/>
      <c r="BE29" s="102"/>
      <c r="BF29" s="102"/>
      <c r="BG29" s="102"/>
      <c r="BH29" s="102"/>
      <c r="BI29" s="102"/>
      <c r="BJ29" s="102"/>
      <c r="BK29" s="102"/>
      <c r="BL29" s="102"/>
      <c r="BM29" s="102"/>
      <c r="BN29" s="102"/>
      <c r="BO29" s="102"/>
      <c r="BP29" s="102"/>
    </row>
    <row r="30" spans="1:68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2"/>
      <c r="AR30" s="102"/>
      <c r="AS30" s="102"/>
      <c r="AT30" s="102"/>
      <c r="AU30" s="102"/>
      <c r="AV30" s="102"/>
      <c r="AW30" s="102"/>
      <c r="AX30" s="102"/>
      <c r="AY30" s="102"/>
      <c r="AZ30" s="102"/>
      <c r="BA30" s="102"/>
      <c r="BB30" s="102"/>
      <c r="BC30" s="102"/>
      <c r="BD30" s="102"/>
      <c r="BE30" s="102"/>
      <c r="BF30" s="102"/>
      <c r="BG30" s="102"/>
      <c r="BH30" s="102"/>
      <c r="BI30" s="102"/>
      <c r="BJ30" s="102"/>
      <c r="BK30" s="102"/>
      <c r="BL30" s="102"/>
      <c r="BM30" s="102"/>
      <c r="BN30" s="102"/>
      <c r="BO30" s="102"/>
      <c r="BP30" s="102"/>
    </row>
    <row r="31" spans="1:68">
      <c r="C31" s="102"/>
      <c r="D31" s="102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</row>
    <row r="32" spans="1:68">
      <c r="C32" s="102"/>
      <c r="D32" s="102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</row>
    <row r="33" spans="3:38">
      <c r="C33" s="102"/>
      <c r="D33" s="102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</row>
    <row r="34" spans="3:38">
      <c r="C34" s="102"/>
      <c r="D34" s="102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</row>
    <row r="35" spans="3:38">
      <c r="C35" s="102"/>
      <c r="D35" s="102"/>
    </row>
    <row r="36" spans="3:38">
      <c r="C36" s="102"/>
      <c r="D36" s="102"/>
    </row>
    <row r="37" spans="3:38">
      <c r="C37" s="102"/>
      <c r="D37" s="102"/>
    </row>
    <row r="38" spans="3:38">
      <c r="C38" s="102"/>
      <c r="D38" s="102"/>
    </row>
    <row r="39" spans="3:38">
      <c r="C39" s="102"/>
      <c r="D39" s="102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47"/>
  <sheetViews>
    <sheetView topLeftCell="A4" workbookViewId="0">
      <selection activeCell="B2" sqref="B2:D21"/>
    </sheetView>
  </sheetViews>
  <sheetFormatPr defaultColWidth="8.5703125" defaultRowHeight="13.9"/>
  <cols>
    <col min="1" max="1" width="42.5703125" style="1" customWidth="1"/>
    <col min="2" max="2" width="35.35546875" style="1" customWidth="1"/>
    <col min="3" max="3" width="63.140625" style="1" customWidth="1"/>
    <col min="4" max="4" width="8.5703125" style="1"/>
    <col min="5" max="5" width="15.5703125" style="1" bestFit="1" customWidth="1"/>
    <col min="6" max="16384" width="8.5703125" style="1"/>
  </cols>
  <sheetData>
    <row r="1" spans="1:5">
      <c r="A1" s="19" t="s">
        <v>4</v>
      </c>
      <c r="B1" s="19" t="s">
        <v>41</v>
      </c>
      <c r="C1" s="19" t="s">
        <v>42</v>
      </c>
      <c r="D1" s="19" t="s">
        <v>2</v>
      </c>
    </row>
    <row r="2" spans="1:5" ht="34.9">
      <c r="A2" s="122" t="s">
        <v>43</v>
      </c>
      <c r="B2" s="249" t="s">
        <v>44</v>
      </c>
      <c r="C2" s="250" t="s">
        <v>331</v>
      </c>
      <c r="D2" s="241">
        <v>4.7100000000000003E-2</v>
      </c>
      <c r="E2" s="251">
        <v>45757</v>
      </c>
    </row>
    <row r="3" spans="1:5" ht="26.25">
      <c r="A3" s="122" t="s">
        <v>45</v>
      </c>
      <c r="B3" s="249" t="s">
        <v>46</v>
      </c>
      <c r="C3" s="250" t="s">
        <v>332</v>
      </c>
      <c r="D3" s="241">
        <v>4.4299999999999999E-2</v>
      </c>
      <c r="E3" s="251">
        <v>45748</v>
      </c>
    </row>
    <row r="4" spans="1:5">
      <c r="A4" s="122" t="s">
        <v>47</v>
      </c>
      <c r="B4" s="75" t="s">
        <v>136</v>
      </c>
      <c r="C4" s="77" t="s">
        <v>48</v>
      </c>
      <c r="D4" s="242">
        <f>D6*(1+(1-D5)*(D7/D9))</f>
        <v>0.45918183999999995</v>
      </c>
      <c r="E4" s="164"/>
    </row>
    <row r="5" spans="1:5">
      <c r="A5" s="122" t="s">
        <v>49</v>
      </c>
      <c r="B5" s="75"/>
      <c r="C5" s="76" t="s">
        <v>50</v>
      </c>
      <c r="D5" s="243">
        <v>0.34</v>
      </c>
      <c r="E5" s="164"/>
    </row>
    <row r="6" spans="1:5">
      <c r="A6" s="273" t="s">
        <v>51</v>
      </c>
      <c r="B6" s="77" t="s">
        <v>52</v>
      </c>
      <c r="C6" s="76" t="s">
        <v>53</v>
      </c>
      <c r="D6" s="77">
        <v>0.37</v>
      </c>
      <c r="E6" t="s">
        <v>330</v>
      </c>
    </row>
    <row r="7" spans="1:5">
      <c r="A7" s="273"/>
      <c r="B7" s="77" t="s">
        <v>54</v>
      </c>
      <c r="C7" s="77" t="s">
        <v>48</v>
      </c>
      <c r="D7" s="243">
        <f>1-D9</f>
        <v>0.26750659244066799</v>
      </c>
    </row>
    <row r="8" spans="1:5">
      <c r="A8" s="273"/>
      <c r="B8" s="77" t="s">
        <v>55</v>
      </c>
      <c r="C8" s="76" t="s">
        <v>53</v>
      </c>
      <c r="D8" s="241">
        <v>0.36520000000000002</v>
      </c>
    </row>
    <row r="9" spans="1:5">
      <c r="A9" s="273"/>
      <c r="B9" s="77" t="s">
        <v>56</v>
      </c>
      <c r="C9" s="77" t="s">
        <v>48</v>
      </c>
      <c r="D9" s="243">
        <f>1/(1+D8)</f>
        <v>0.73249340755933201</v>
      </c>
    </row>
    <row r="10" spans="1:5" ht="39.4">
      <c r="A10" s="139" t="s">
        <v>57</v>
      </c>
      <c r="B10" s="75" t="s">
        <v>182</v>
      </c>
      <c r="C10" s="76" t="s">
        <v>58</v>
      </c>
      <c r="D10" s="166">
        <v>4.02E-2</v>
      </c>
      <c r="E10" s="174" t="s">
        <v>297</v>
      </c>
    </row>
    <row r="11" spans="1:5" ht="15.4">
      <c r="A11" s="139" t="s">
        <v>59</v>
      </c>
      <c r="B11" s="140"/>
      <c r="C11" s="141" t="s">
        <v>163</v>
      </c>
      <c r="D11" s="166">
        <v>3.5799999999999998E-2</v>
      </c>
      <c r="E11" s="244"/>
    </row>
    <row r="12" spans="1:5" ht="26.25">
      <c r="A12" s="139" t="s">
        <v>60</v>
      </c>
      <c r="B12" s="140" t="s">
        <v>61</v>
      </c>
      <c r="C12" s="141" t="s">
        <v>62</v>
      </c>
      <c r="D12" s="166">
        <v>0.02</v>
      </c>
      <c r="E12" s="244"/>
    </row>
    <row r="13" spans="1:5" ht="15.4">
      <c r="A13" s="139" t="s">
        <v>63</v>
      </c>
      <c r="B13" s="140"/>
      <c r="C13" s="141" t="s">
        <v>64</v>
      </c>
      <c r="D13" s="166">
        <f>D2+D4*D3+D10+D11+D12</f>
        <v>0.16344175551199999</v>
      </c>
      <c r="E13" s="244"/>
    </row>
    <row r="14" spans="1:5" ht="26.25">
      <c r="A14" s="139" t="s">
        <v>175</v>
      </c>
      <c r="B14" s="140" t="s">
        <v>333</v>
      </c>
      <c r="C14" s="76" t="s">
        <v>334</v>
      </c>
      <c r="D14" s="166">
        <v>8.9599999999999999E-2</v>
      </c>
      <c r="E14" s="244"/>
    </row>
    <row r="15" spans="1:5" ht="26.25">
      <c r="A15" s="139" t="s">
        <v>176</v>
      </c>
      <c r="B15" s="140" t="s">
        <v>335</v>
      </c>
      <c r="C15" s="76" t="s">
        <v>334</v>
      </c>
      <c r="D15" s="166">
        <v>0.188</v>
      </c>
      <c r="E15" s="244"/>
    </row>
    <row r="16" spans="1:5" ht="15.4">
      <c r="A16" s="139" t="s">
        <v>177</v>
      </c>
      <c r="B16" s="140" t="s">
        <v>178</v>
      </c>
      <c r="C16" s="141" t="s">
        <v>179</v>
      </c>
      <c r="D16" s="166">
        <f>(1+D15)/(1+D14)</f>
        <v>1.090308370044053</v>
      </c>
      <c r="E16" s="244"/>
    </row>
    <row r="17" spans="1:5" ht="15.4">
      <c r="A17" s="139" t="s">
        <v>63</v>
      </c>
      <c r="B17" s="140" t="s">
        <v>180</v>
      </c>
      <c r="C17" s="140" t="s">
        <v>181</v>
      </c>
      <c r="D17" s="166">
        <f>(1+D13)*D16-1</f>
        <v>0.26851028409348032</v>
      </c>
      <c r="E17" s="244"/>
    </row>
    <row r="18" spans="1:5" ht="26.25">
      <c r="A18" s="139" t="s">
        <v>65</v>
      </c>
      <c r="B18" s="140" t="s">
        <v>336</v>
      </c>
      <c r="C18" s="140" t="s">
        <v>174</v>
      </c>
      <c r="D18" s="166">
        <v>0.188</v>
      </c>
    </row>
    <row r="19" spans="1:5">
      <c r="A19" s="139" t="s">
        <v>66</v>
      </c>
      <c r="B19" s="140"/>
      <c r="C19" s="140"/>
      <c r="D19" s="169">
        <f>Допущения!$C$69</f>
        <v>0.25</v>
      </c>
      <c r="E19" s="245"/>
    </row>
    <row r="20" spans="1:5">
      <c r="A20" s="139" t="s">
        <v>67</v>
      </c>
      <c r="B20" s="140"/>
      <c r="C20" s="140" t="s">
        <v>68</v>
      </c>
      <c r="D20" s="166">
        <f>D18*(1-D19)</f>
        <v>0.14100000000000001</v>
      </c>
    </row>
    <row r="21" spans="1:5">
      <c r="A21" s="147" t="s">
        <v>155</v>
      </c>
      <c r="B21" s="148"/>
      <c r="C21" s="148" t="s">
        <v>69</v>
      </c>
      <c r="D21" s="149">
        <f>((1-D19)*D18*D7+D9*D17)</f>
        <v>0.23440044249449188</v>
      </c>
    </row>
    <row r="24" spans="1:5">
      <c r="A24" s="274" t="s">
        <v>70</v>
      </c>
      <c r="B24" s="274" t="s">
        <v>71</v>
      </c>
      <c r="C24" s="274"/>
      <c r="D24" s="274"/>
      <c r="E24" s="274" t="s">
        <v>72</v>
      </c>
    </row>
    <row r="25" spans="1:5">
      <c r="A25" s="274"/>
      <c r="B25" s="23" t="s">
        <v>73</v>
      </c>
      <c r="C25" s="23" t="s">
        <v>74</v>
      </c>
      <c r="D25" s="23" t="s">
        <v>75</v>
      </c>
      <c r="E25" s="274"/>
    </row>
    <row r="26" spans="1:5">
      <c r="A26" s="122" t="s">
        <v>76</v>
      </c>
      <c r="B26" s="75">
        <v>1</v>
      </c>
      <c r="C26" s="75">
        <v>2</v>
      </c>
      <c r="D26" s="75">
        <v>3</v>
      </c>
      <c r="E26" s="51">
        <v>2</v>
      </c>
    </row>
    <row r="27" spans="1:5">
      <c r="A27" s="122" t="s">
        <v>77</v>
      </c>
      <c r="B27" s="75">
        <v>1</v>
      </c>
      <c r="C27" s="75">
        <v>2</v>
      </c>
      <c r="D27" s="75">
        <v>3</v>
      </c>
      <c r="E27" s="51">
        <v>1</v>
      </c>
    </row>
    <row r="28" spans="1:5">
      <c r="A28" s="122" t="s">
        <v>78</v>
      </c>
      <c r="B28" s="75">
        <v>1</v>
      </c>
      <c r="C28" s="75">
        <v>2</v>
      </c>
      <c r="D28" s="75">
        <v>3</v>
      </c>
      <c r="E28" s="51">
        <v>3</v>
      </c>
    </row>
    <row r="29" spans="1:5">
      <c r="A29" s="122" t="s">
        <v>79</v>
      </c>
      <c r="B29" s="75">
        <v>1</v>
      </c>
      <c r="C29" s="75">
        <v>2</v>
      </c>
      <c r="D29" s="75">
        <v>3</v>
      </c>
      <c r="E29" s="51">
        <v>2</v>
      </c>
    </row>
    <row r="30" spans="1:5">
      <c r="A30" s="122" t="s">
        <v>80</v>
      </c>
      <c r="B30" s="75">
        <v>1</v>
      </c>
      <c r="C30" s="75">
        <v>2</v>
      </c>
      <c r="D30" s="75">
        <v>3</v>
      </c>
      <c r="E30" s="51">
        <v>3</v>
      </c>
    </row>
    <row r="31" spans="1:5">
      <c r="A31" s="275" t="s">
        <v>81</v>
      </c>
      <c r="B31" s="275"/>
      <c r="C31" s="275"/>
      <c r="D31" s="275"/>
      <c r="E31" s="78">
        <f>SUM(E26:E30)</f>
        <v>11</v>
      </c>
    </row>
    <row r="32" spans="1:5">
      <c r="A32" s="272" t="s">
        <v>82</v>
      </c>
      <c r="B32" s="272"/>
      <c r="C32" s="272"/>
      <c r="D32" s="272"/>
      <c r="E32" s="74">
        <f>E31/5</f>
        <v>2.2000000000000002</v>
      </c>
    </row>
    <row r="35" spans="1:4">
      <c r="A35" s="19" t="s">
        <v>71</v>
      </c>
      <c r="B35" s="19" t="s">
        <v>83</v>
      </c>
      <c r="C35" s="19" t="s">
        <v>84</v>
      </c>
    </row>
    <row r="36" spans="1:4">
      <c r="A36" s="75" t="s">
        <v>73</v>
      </c>
      <c r="B36" s="75" t="s">
        <v>85</v>
      </c>
      <c r="C36" s="75" t="s">
        <v>86</v>
      </c>
    </row>
    <row r="37" spans="1:4">
      <c r="A37" s="75" t="s">
        <v>74</v>
      </c>
      <c r="B37" s="75" t="s">
        <v>87</v>
      </c>
      <c r="C37" s="79" t="s">
        <v>88</v>
      </c>
    </row>
    <row r="38" spans="1:4">
      <c r="A38" s="75" t="s">
        <v>75</v>
      </c>
      <c r="B38" s="75" t="s">
        <v>89</v>
      </c>
      <c r="C38" s="79" t="s">
        <v>90</v>
      </c>
    </row>
    <row r="46" spans="1:4">
      <c r="D46" s="80"/>
    </row>
    <row r="47" spans="1:4">
      <c r="C47" s="80"/>
    </row>
  </sheetData>
  <mergeCells count="6">
    <mergeCell ref="A32:D32"/>
    <mergeCell ref="A6:A9"/>
    <mergeCell ref="A24:A25"/>
    <mergeCell ref="B24:D24"/>
    <mergeCell ref="E24:E25"/>
    <mergeCell ref="A31:D31"/>
  </mergeCells>
  <hyperlinks>
    <hyperlink ref="C6" r:id="rId1" xr:uid="{E2E8AA51-5D61-4182-9BDC-CAC2A3ABBF94}"/>
    <hyperlink ref="C8" r:id="rId2" xr:uid="{1C358B91-6FEB-4C87-BF39-13E086B753DC}"/>
    <hyperlink ref="C5" r:id="rId3" xr:uid="{65ED1E0B-BBDD-4D6F-859B-3ECD2E746F1C}"/>
    <hyperlink ref="C10" r:id="rId4" xr:uid="{1D248AE7-C9B1-4810-90AC-F2239D189762}"/>
    <hyperlink ref="C2" r:id="rId5" xr:uid="{3F291106-0780-481D-985D-78E746607255}"/>
    <hyperlink ref="C3" r:id="rId6" xr:uid="{98082EA6-69C5-4D52-A41C-66046149FB9A}"/>
    <hyperlink ref="C14" r:id="rId7" xr:uid="{931D2FAD-EB7E-4398-8763-701A31355428}"/>
    <hyperlink ref="C15" r:id="rId8" xr:uid="{68CCCEA2-2CF6-4EC9-B274-F029367C5C95}"/>
  </hyperlinks>
  <pageMargins left="0.7" right="0.7" top="0.75" bottom="0.75" header="0.3" footer="0.3"/>
  <pageSetup paperSize="9" orientation="portrait" verticalDpi="1200" r:id="rId9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Y46"/>
  <sheetViews>
    <sheetView topLeftCell="A4" zoomScaleNormal="100" zoomScalePageLayoutView="150" workbookViewId="0">
      <pane xSplit="1" topLeftCell="B1" activePane="topRight" state="frozen"/>
      <selection pane="topRight" activeCell="A46" sqref="A46"/>
    </sheetView>
  </sheetViews>
  <sheetFormatPr defaultColWidth="8.5703125" defaultRowHeight="13.9"/>
  <cols>
    <col min="1" max="1" width="47.42578125" style="1" customWidth="1"/>
    <col min="2" max="2" width="10.5703125" style="1" customWidth="1"/>
    <col min="3" max="69" width="9.5703125" style="1" customWidth="1"/>
    <col min="70" max="16384" width="8.5703125" style="1"/>
  </cols>
  <sheetData>
    <row r="1" spans="1:127">
      <c r="A1" s="18" t="s">
        <v>6</v>
      </c>
      <c r="B1" s="12"/>
      <c r="C1" s="81"/>
      <c r="D1" s="14"/>
      <c r="E1" s="14"/>
      <c r="F1" s="14"/>
      <c r="G1" s="14"/>
      <c r="H1" s="14"/>
      <c r="I1" s="81"/>
      <c r="J1" s="19">
        <f>IF(OR(MONTH(J3)=1,MONTH(J3)=2,MONTH(J3)=3),1,IF(OR(MONTH(J3)=4,MONTH(J3)=5,MONTH(J3)=6),2,IF(OR(MONTH(J3)=7,MONTH(J3)=8,MONTH(J3)=9),3,4)))</f>
        <v>3</v>
      </c>
      <c r="K1" s="19">
        <f>IF(OR(MONTH(K3)=1,MONTH(K3)=2,MONTH(K3)=3),1,IF(OR(MONTH(K3)=4,MONTH(K3)=5,MONTH(K3)=6),2,IF(OR(MONTH(K3)=7,MONTH(K3)=8,MONTH(K3)=9),3,4)))</f>
        <v>4</v>
      </c>
      <c r="L1" s="19">
        <f>IF(OR(MONTH(L3)=1,MONTH(L3)=2,MONTH(L3)=3),1,IF(OR(MONTH(L3)=4,MONTH(L3)=5,MONTH(L3)=6),2,IF(OR(MONTH(L3)=7,MONTH(L3)=8,MONTH(L3)=9),3,4)))</f>
        <v>4</v>
      </c>
      <c r="M1" s="19">
        <f t="shared" ref="M1:AS1" si="0">IF(OR(MONTH(M3)=1,MONTH(M3)=2,MONTH(M3)=3),1,IF(OR(MONTH(M3)=4,MONTH(M3)=5,MONTH(M3)=6),2,IF(OR(MONTH(M3)=7,MONTH(M3)=8,MONTH(M3)=9),3,4)))</f>
        <v>4</v>
      </c>
      <c r="N1" s="19">
        <f t="shared" si="0"/>
        <v>1</v>
      </c>
      <c r="O1" s="19">
        <f t="shared" si="0"/>
        <v>1</v>
      </c>
      <c r="P1" s="19">
        <f t="shared" si="0"/>
        <v>1</v>
      </c>
      <c r="Q1" s="19">
        <f t="shared" si="0"/>
        <v>2</v>
      </c>
      <c r="R1" s="19">
        <f t="shared" si="0"/>
        <v>2</v>
      </c>
      <c r="S1" s="19">
        <f t="shared" si="0"/>
        <v>2</v>
      </c>
      <c r="T1" s="19">
        <f t="shared" si="0"/>
        <v>3</v>
      </c>
      <c r="U1" s="19">
        <f t="shared" si="0"/>
        <v>3</v>
      </c>
      <c r="V1" s="19">
        <f t="shared" si="0"/>
        <v>3</v>
      </c>
      <c r="W1" s="19">
        <f t="shared" si="0"/>
        <v>4</v>
      </c>
      <c r="X1" s="19">
        <f t="shared" si="0"/>
        <v>4</v>
      </c>
      <c r="Y1" s="19">
        <f t="shared" si="0"/>
        <v>4</v>
      </c>
      <c r="Z1" s="19">
        <f t="shared" si="0"/>
        <v>1</v>
      </c>
      <c r="AA1" s="19">
        <f t="shared" si="0"/>
        <v>1</v>
      </c>
      <c r="AB1" s="19">
        <f t="shared" si="0"/>
        <v>1</v>
      </c>
      <c r="AC1" s="19">
        <f t="shared" si="0"/>
        <v>2</v>
      </c>
      <c r="AD1" s="19">
        <f t="shared" si="0"/>
        <v>2</v>
      </c>
      <c r="AE1" s="19">
        <f t="shared" si="0"/>
        <v>2</v>
      </c>
      <c r="AF1" s="19">
        <f t="shared" si="0"/>
        <v>3</v>
      </c>
      <c r="AG1" s="19">
        <f t="shared" si="0"/>
        <v>3</v>
      </c>
      <c r="AH1" s="19">
        <f t="shared" si="0"/>
        <v>3</v>
      </c>
      <c r="AI1" s="19">
        <f t="shared" si="0"/>
        <v>4</v>
      </c>
      <c r="AJ1" s="19">
        <f t="shared" si="0"/>
        <v>4</v>
      </c>
      <c r="AK1" s="19">
        <f t="shared" si="0"/>
        <v>4</v>
      </c>
      <c r="AL1" s="19">
        <f t="shared" si="0"/>
        <v>1</v>
      </c>
      <c r="AM1" s="19">
        <f t="shared" si="0"/>
        <v>1</v>
      </c>
      <c r="AN1" s="19">
        <f t="shared" si="0"/>
        <v>1</v>
      </c>
      <c r="AO1" s="19">
        <f t="shared" si="0"/>
        <v>2</v>
      </c>
      <c r="AP1" s="19">
        <f t="shared" si="0"/>
        <v>2</v>
      </c>
      <c r="AQ1" s="19">
        <f t="shared" si="0"/>
        <v>2</v>
      </c>
      <c r="AR1" s="19">
        <f t="shared" si="0"/>
        <v>3</v>
      </c>
      <c r="AS1" s="19">
        <f t="shared" si="0"/>
        <v>3</v>
      </c>
      <c r="AT1" s="19">
        <f t="shared" ref="AT1:BP1" si="1">IF(OR(MONTH(AT3)=1,MONTH(AT3)=2,MONTH(AT3)=3),1,IF(OR(MONTH(AT3)=4,MONTH(AT3)=5,MONTH(AT3)=6),2,IF(OR(MONTH(AT3)=7,MONTH(AT3)=8,MONTH(AT3)=9),3,4)))</f>
        <v>3</v>
      </c>
      <c r="AU1" s="19">
        <f t="shared" si="1"/>
        <v>4</v>
      </c>
      <c r="AV1" s="19">
        <f t="shared" si="1"/>
        <v>4</v>
      </c>
      <c r="AW1" s="19">
        <f t="shared" si="1"/>
        <v>4</v>
      </c>
      <c r="AX1" s="19">
        <f t="shared" si="1"/>
        <v>1</v>
      </c>
      <c r="AY1" s="19">
        <f t="shared" si="1"/>
        <v>1</v>
      </c>
      <c r="AZ1" s="19">
        <f t="shared" si="1"/>
        <v>1</v>
      </c>
      <c r="BA1" s="19">
        <f t="shared" si="1"/>
        <v>2</v>
      </c>
      <c r="BB1" s="19">
        <f t="shared" si="1"/>
        <v>2</v>
      </c>
      <c r="BC1" s="19">
        <f t="shared" si="1"/>
        <v>2</v>
      </c>
      <c r="BD1" s="19">
        <f t="shared" si="1"/>
        <v>3</v>
      </c>
      <c r="BE1" s="19">
        <f t="shared" si="1"/>
        <v>3</v>
      </c>
      <c r="BF1" s="19">
        <f t="shared" si="1"/>
        <v>3</v>
      </c>
      <c r="BG1" s="19">
        <f t="shared" si="1"/>
        <v>4</v>
      </c>
      <c r="BH1" s="19">
        <f t="shared" si="1"/>
        <v>4</v>
      </c>
      <c r="BI1" s="19">
        <f t="shared" si="1"/>
        <v>4</v>
      </c>
      <c r="BJ1" s="19">
        <f t="shared" si="1"/>
        <v>1</v>
      </c>
      <c r="BK1" s="19">
        <f t="shared" si="1"/>
        <v>1</v>
      </c>
      <c r="BL1" s="19">
        <f t="shared" si="1"/>
        <v>1</v>
      </c>
      <c r="BM1" s="19">
        <f t="shared" si="1"/>
        <v>2</v>
      </c>
      <c r="BN1" s="19">
        <f t="shared" si="1"/>
        <v>2</v>
      </c>
      <c r="BO1" s="19">
        <f t="shared" si="1"/>
        <v>2</v>
      </c>
      <c r="BP1" s="19">
        <f t="shared" si="1"/>
        <v>3</v>
      </c>
      <c r="BQ1" s="19">
        <f t="shared" ref="BQ1" si="2">IF(OR(MONTH(BQ3)=1,MONTH(BQ3)=2,MONTH(BQ3)=3),1,IF(OR(MONTH(BQ3)=4,MONTH(BQ3)=5,MONTH(BQ3)=6),2,IF(OR(MONTH(BQ3)=7,MONTH(BQ3)=8,MONTH(BQ3)=9),3,4)))</f>
        <v>3</v>
      </c>
    </row>
    <row r="2" spans="1:127">
      <c r="A2" s="18" t="s">
        <v>7</v>
      </c>
      <c r="B2" s="12"/>
      <c r="C2" s="19">
        <f>YEAR(Допущения!C4)</f>
        <v>2025</v>
      </c>
      <c r="D2" s="19">
        <f t="shared" ref="D2:F2" si="3">C2+1</f>
        <v>2026</v>
      </c>
      <c r="E2" s="19">
        <f t="shared" si="3"/>
        <v>2027</v>
      </c>
      <c r="F2" s="19">
        <f t="shared" si="3"/>
        <v>2028</v>
      </c>
      <c r="G2" s="19">
        <f t="shared" ref="G2" si="4">F2+1</f>
        <v>2029</v>
      </c>
      <c r="H2" s="19">
        <f t="shared" ref="H2" si="5">G2+1</f>
        <v>2030</v>
      </c>
      <c r="I2" s="14"/>
      <c r="J2" s="19">
        <f>YEAR(J3)</f>
        <v>2025</v>
      </c>
      <c r="K2" s="19">
        <f>YEAR(K3)</f>
        <v>2025</v>
      </c>
      <c r="L2" s="19">
        <f t="shared" ref="L2:BQ2" si="6">YEAR(L3)</f>
        <v>2025</v>
      </c>
      <c r="M2" s="19">
        <f t="shared" si="6"/>
        <v>2025</v>
      </c>
      <c r="N2" s="19">
        <f t="shared" si="6"/>
        <v>2026</v>
      </c>
      <c r="O2" s="19">
        <f t="shared" si="6"/>
        <v>2026</v>
      </c>
      <c r="P2" s="19">
        <f t="shared" si="6"/>
        <v>2026</v>
      </c>
      <c r="Q2" s="19">
        <f t="shared" si="6"/>
        <v>2026</v>
      </c>
      <c r="R2" s="19">
        <f t="shared" si="6"/>
        <v>2026</v>
      </c>
      <c r="S2" s="19">
        <f t="shared" si="6"/>
        <v>2026</v>
      </c>
      <c r="T2" s="19">
        <f t="shared" si="6"/>
        <v>2026</v>
      </c>
      <c r="U2" s="19">
        <f t="shared" si="6"/>
        <v>2026</v>
      </c>
      <c r="V2" s="19">
        <f t="shared" si="6"/>
        <v>2026</v>
      </c>
      <c r="W2" s="19">
        <f t="shared" si="6"/>
        <v>2026</v>
      </c>
      <c r="X2" s="19">
        <f t="shared" si="6"/>
        <v>2026</v>
      </c>
      <c r="Y2" s="19">
        <f t="shared" si="6"/>
        <v>2026</v>
      </c>
      <c r="Z2" s="19">
        <f t="shared" si="6"/>
        <v>2027</v>
      </c>
      <c r="AA2" s="19">
        <f t="shared" si="6"/>
        <v>2027</v>
      </c>
      <c r="AB2" s="19">
        <f t="shared" si="6"/>
        <v>2027</v>
      </c>
      <c r="AC2" s="19">
        <f t="shared" si="6"/>
        <v>2027</v>
      </c>
      <c r="AD2" s="19">
        <f t="shared" si="6"/>
        <v>2027</v>
      </c>
      <c r="AE2" s="19">
        <f t="shared" si="6"/>
        <v>2027</v>
      </c>
      <c r="AF2" s="19">
        <f t="shared" si="6"/>
        <v>2027</v>
      </c>
      <c r="AG2" s="19">
        <f t="shared" si="6"/>
        <v>2027</v>
      </c>
      <c r="AH2" s="19">
        <f t="shared" si="6"/>
        <v>2027</v>
      </c>
      <c r="AI2" s="19">
        <f t="shared" si="6"/>
        <v>2027</v>
      </c>
      <c r="AJ2" s="19">
        <f t="shared" si="6"/>
        <v>2027</v>
      </c>
      <c r="AK2" s="19">
        <f t="shared" si="6"/>
        <v>2027</v>
      </c>
      <c r="AL2" s="19">
        <f t="shared" si="6"/>
        <v>2028</v>
      </c>
      <c r="AM2" s="19">
        <f t="shared" si="6"/>
        <v>2028</v>
      </c>
      <c r="AN2" s="19">
        <f t="shared" si="6"/>
        <v>2028</v>
      </c>
      <c r="AO2" s="19">
        <f t="shared" si="6"/>
        <v>2028</v>
      </c>
      <c r="AP2" s="19">
        <f t="shared" si="6"/>
        <v>2028</v>
      </c>
      <c r="AQ2" s="19">
        <f t="shared" si="6"/>
        <v>2028</v>
      </c>
      <c r="AR2" s="19">
        <f t="shared" si="6"/>
        <v>2028</v>
      </c>
      <c r="AS2" s="19">
        <f t="shared" si="6"/>
        <v>2028</v>
      </c>
      <c r="AT2" s="19">
        <f t="shared" si="6"/>
        <v>2028</v>
      </c>
      <c r="AU2" s="19">
        <f t="shared" si="6"/>
        <v>2028</v>
      </c>
      <c r="AV2" s="19">
        <f t="shared" si="6"/>
        <v>2028</v>
      </c>
      <c r="AW2" s="19">
        <f t="shared" si="6"/>
        <v>2028</v>
      </c>
      <c r="AX2" s="19">
        <f t="shared" si="6"/>
        <v>2029</v>
      </c>
      <c r="AY2" s="19">
        <f t="shared" si="6"/>
        <v>2029</v>
      </c>
      <c r="AZ2" s="19">
        <f t="shared" si="6"/>
        <v>2029</v>
      </c>
      <c r="BA2" s="19">
        <f t="shared" si="6"/>
        <v>2029</v>
      </c>
      <c r="BB2" s="19">
        <f t="shared" si="6"/>
        <v>2029</v>
      </c>
      <c r="BC2" s="19">
        <f t="shared" si="6"/>
        <v>2029</v>
      </c>
      <c r="BD2" s="19">
        <f t="shared" si="6"/>
        <v>2029</v>
      </c>
      <c r="BE2" s="19">
        <f t="shared" si="6"/>
        <v>2029</v>
      </c>
      <c r="BF2" s="19">
        <f t="shared" si="6"/>
        <v>2029</v>
      </c>
      <c r="BG2" s="19">
        <f t="shared" si="6"/>
        <v>2029</v>
      </c>
      <c r="BH2" s="19">
        <f t="shared" si="6"/>
        <v>2029</v>
      </c>
      <c r="BI2" s="19">
        <f t="shared" si="6"/>
        <v>2029</v>
      </c>
      <c r="BJ2" s="19">
        <f t="shared" si="6"/>
        <v>2030</v>
      </c>
      <c r="BK2" s="19">
        <f t="shared" si="6"/>
        <v>2030</v>
      </c>
      <c r="BL2" s="19">
        <f t="shared" si="6"/>
        <v>2030</v>
      </c>
      <c r="BM2" s="19">
        <f t="shared" si="6"/>
        <v>2030</v>
      </c>
      <c r="BN2" s="19">
        <f t="shared" si="6"/>
        <v>2030</v>
      </c>
      <c r="BO2" s="19">
        <f t="shared" si="6"/>
        <v>2030</v>
      </c>
      <c r="BP2" s="19">
        <f t="shared" si="6"/>
        <v>2030</v>
      </c>
      <c r="BQ2" s="19">
        <f t="shared" si="6"/>
        <v>2030</v>
      </c>
    </row>
    <row r="3" spans="1:127">
      <c r="A3" s="18" t="s">
        <v>8</v>
      </c>
      <c r="B3" s="12"/>
      <c r="C3" s="14"/>
      <c r="D3" s="14"/>
      <c r="E3" s="14"/>
      <c r="F3" s="14"/>
      <c r="G3" s="14"/>
      <c r="H3" s="14"/>
      <c r="I3" s="7"/>
      <c r="J3" s="20">
        <f>Допущения!C4</f>
        <v>45901</v>
      </c>
      <c r="K3" s="20">
        <f t="shared" ref="K3:V3" si="7">DATE(YEAR(J3),MONTH(J3)+1,1)</f>
        <v>45931</v>
      </c>
      <c r="L3" s="20">
        <f t="shared" si="7"/>
        <v>45962</v>
      </c>
      <c r="M3" s="20">
        <f t="shared" si="7"/>
        <v>45992</v>
      </c>
      <c r="N3" s="20">
        <f t="shared" si="7"/>
        <v>46023</v>
      </c>
      <c r="O3" s="20">
        <f t="shared" si="7"/>
        <v>46054</v>
      </c>
      <c r="P3" s="20">
        <f t="shared" si="7"/>
        <v>46082</v>
      </c>
      <c r="Q3" s="20">
        <f t="shared" si="7"/>
        <v>46113</v>
      </c>
      <c r="R3" s="20">
        <f t="shared" si="7"/>
        <v>46143</v>
      </c>
      <c r="S3" s="20">
        <f t="shared" si="7"/>
        <v>46174</v>
      </c>
      <c r="T3" s="20">
        <f t="shared" si="7"/>
        <v>46204</v>
      </c>
      <c r="U3" s="20">
        <f t="shared" si="7"/>
        <v>46235</v>
      </c>
      <c r="V3" s="20">
        <f t="shared" si="7"/>
        <v>46266</v>
      </c>
      <c r="W3" s="20">
        <f t="shared" ref="W3:AS3" si="8">DATE(YEAR(V3),MONTH(V3)+1,1)</f>
        <v>46296</v>
      </c>
      <c r="X3" s="20">
        <f t="shared" si="8"/>
        <v>46327</v>
      </c>
      <c r="Y3" s="20">
        <f t="shared" si="8"/>
        <v>46357</v>
      </c>
      <c r="Z3" s="20">
        <f t="shared" si="8"/>
        <v>46388</v>
      </c>
      <c r="AA3" s="20">
        <f t="shared" si="8"/>
        <v>46419</v>
      </c>
      <c r="AB3" s="20">
        <f t="shared" si="8"/>
        <v>46447</v>
      </c>
      <c r="AC3" s="20">
        <f t="shared" si="8"/>
        <v>46478</v>
      </c>
      <c r="AD3" s="20">
        <f t="shared" si="8"/>
        <v>46508</v>
      </c>
      <c r="AE3" s="20">
        <f t="shared" si="8"/>
        <v>46539</v>
      </c>
      <c r="AF3" s="20">
        <f t="shared" si="8"/>
        <v>46569</v>
      </c>
      <c r="AG3" s="20">
        <f t="shared" si="8"/>
        <v>46600</v>
      </c>
      <c r="AH3" s="20">
        <f t="shared" si="8"/>
        <v>46631</v>
      </c>
      <c r="AI3" s="20">
        <f t="shared" si="8"/>
        <v>46661</v>
      </c>
      <c r="AJ3" s="20">
        <f t="shared" si="8"/>
        <v>46692</v>
      </c>
      <c r="AK3" s="20">
        <f t="shared" si="8"/>
        <v>46722</v>
      </c>
      <c r="AL3" s="20">
        <f t="shared" si="8"/>
        <v>46753</v>
      </c>
      <c r="AM3" s="20">
        <f t="shared" si="8"/>
        <v>46784</v>
      </c>
      <c r="AN3" s="20">
        <f t="shared" si="8"/>
        <v>46813</v>
      </c>
      <c r="AO3" s="20">
        <f t="shared" si="8"/>
        <v>46844</v>
      </c>
      <c r="AP3" s="20">
        <f t="shared" si="8"/>
        <v>46874</v>
      </c>
      <c r="AQ3" s="20">
        <f t="shared" si="8"/>
        <v>46905</v>
      </c>
      <c r="AR3" s="20">
        <f t="shared" si="8"/>
        <v>46935</v>
      </c>
      <c r="AS3" s="20">
        <f t="shared" si="8"/>
        <v>46966</v>
      </c>
      <c r="AT3" s="20">
        <f t="shared" ref="AT3:BP3" si="9">DATE(YEAR(AS3),MONTH(AS3)+1,1)</f>
        <v>46997</v>
      </c>
      <c r="AU3" s="20">
        <f t="shared" si="9"/>
        <v>47027</v>
      </c>
      <c r="AV3" s="20">
        <f t="shared" si="9"/>
        <v>47058</v>
      </c>
      <c r="AW3" s="20">
        <f t="shared" si="9"/>
        <v>47088</v>
      </c>
      <c r="AX3" s="20">
        <f t="shared" si="9"/>
        <v>47119</v>
      </c>
      <c r="AY3" s="20">
        <f t="shared" si="9"/>
        <v>47150</v>
      </c>
      <c r="AZ3" s="20">
        <f t="shared" si="9"/>
        <v>47178</v>
      </c>
      <c r="BA3" s="20">
        <f t="shared" si="9"/>
        <v>47209</v>
      </c>
      <c r="BB3" s="20">
        <f t="shared" si="9"/>
        <v>47239</v>
      </c>
      <c r="BC3" s="20">
        <f t="shared" si="9"/>
        <v>47270</v>
      </c>
      <c r="BD3" s="20">
        <f t="shared" si="9"/>
        <v>47300</v>
      </c>
      <c r="BE3" s="20">
        <f t="shared" si="9"/>
        <v>47331</v>
      </c>
      <c r="BF3" s="20">
        <f t="shared" si="9"/>
        <v>47362</v>
      </c>
      <c r="BG3" s="20">
        <f t="shared" si="9"/>
        <v>47392</v>
      </c>
      <c r="BH3" s="20">
        <f t="shared" si="9"/>
        <v>47423</v>
      </c>
      <c r="BI3" s="20">
        <f t="shared" si="9"/>
        <v>47453</v>
      </c>
      <c r="BJ3" s="20">
        <f t="shared" si="9"/>
        <v>47484</v>
      </c>
      <c r="BK3" s="20">
        <f t="shared" si="9"/>
        <v>47515</v>
      </c>
      <c r="BL3" s="20">
        <f t="shared" si="9"/>
        <v>47543</v>
      </c>
      <c r="BM3" s="20">
        <f t="shared" si="9"/>
        <v>47574</v>
      </c>
      <c r="BN3" s="20">
        <f t="shared" si="9"/>
        <v>47604</v>
      </c>
      <c r="BO3" s="20">
        <f t="shared" si="9"/>
        <v>47635</v>
      </c>
      <c r="BP3" s="20">
        <f t="shared" si="9"/>
        <v>47665</v>
      </c>
      <c r="BQ3" s="20">
        <f t="shared" ref="BQ3:BR3" si="10">DATE(YEAR(BP3),MONTH(BP3)+1,1)</f>
        <v>47696</v>
      </c>
      <c r="BR3" s="9">
        <f t="shared" si="10"/>
        <v>47727</v>
      </c>
    </row>
    <row r="4" spans="1:127">
      <c r="A4" s="18" t="s">
        <v>10</v>
      </c>
      <c r="B4" s="12"/>
      <c r="C4" s="7"/>
      <c r="D4" s="7"/>
      <c r="E4" s="7"/>
      <c r="F4" s="7"/>
      <c r="G4" s="7"/>
      <c r="H4" s="7"/>
      <c r="I4" s="7"/>
      <c r="J4" s="19">
        <f>K3-J3</f>
        <v>30</v>
      </c>
      <c r="K4" s="19">
        <f>L3-K3</f>
        <v>31</v>
      </c>
      <c r="L4" s="19">
        <f t="shared" ref="L4:AS4" si="11">M3-L3</f>
        <v>30</v>
      </c>
      <c r="M4" s="19">
        <f t="shared" si="11"/>
        <v>31</v>
      </c>
      <c r="N4" s="19">
        <f t="shared" si="11"/>
        <v>31</v>
      </c>
      <c r="O4" s="19">
        <f t="shared" si="11"/>
        <v>28</v>
      </c>
      <c r="P4" s="19">
        <f t="shared" si="11"/>
        <v>31</v>
      </c>
      <c r="Q4" s="19">
        <f t="shared" si="11"/>
        <v>30</v>
      </c>
      <c r="R4" s="19">
        <f t="shared" si="11"/>
        <v>31</v>
      </c>
      <c r="S4" s="19">
        <f t="shared" si="11"/>
        <v>30</v>
      </c>
      <c r="T4" s="19">
        <f t="shared" si="11"/>
        <v>31</v>
      </c>
      <c r="U4" s="19">
        <f t="shared" si="11"/>
        <v>31</v>
      </c>
      <c r="V4" s="19">
        <f t="shared" si="11"/>
        <v>30</v>
      </c>
      <c r="W4" s="19">
        <f t="shared" si="11"/>
        <v>31</v>
      </c>
      <c r="X4" s="19">
        <f t="shared" si="11"/>
        <v>30</v>
      </c>
      <c r="Y4" s="19">
        <f t="shared" si="11"/>
        <v>31</v>
      </c>
      <c r="Z4" s="19">
        <f t="shared" si="11"/>
        <v>31</v>
      </c>
      <c r="AA4" s="19">
        <f t="shared" si="11"/>
        <v>28</v>
      </c>
      <c r="AB4" s="19">
        <f t="shared" si="11"/>
        <v>31</v>
      </c>
      <c r="AC4" s="19">
        <f t="shared" si="11"/>
        <v>30</v>
      </c>
      <c r="AD4" s="19">
        <f t="shared" si="11"/>
        <v>31</v>
      </c>
      <c r="AE4" s="19">
        <f t="shared" si="11"/>
        <v>30</v>
      </c>
      <c r="AF4" s="19">
        <f t="shared" si="11"/>
        <v>31</v>
      </c>
      <c r="AG4" s="19">
        <f t="shared" si="11"/>
        <v>31</v>
      </c>
      <c r="AH4" s="19">
        <f t="shared" si="11"/>
        <v>30</v>
      </c>
      <c r="AI4" s="19">
        <f t="shared" si="11"/>
        <v>31</v>
      </c>
      <c r="AJ4" s="19">
        <f t="shared" si="11"/>
        <v>30</v>
      </c>
      <c r="AK4" s="19">
        <f t="shared" si="11"/>
        <v>31</v>
      </c>
      <c r="AL4" s="19">
        <f t="shared" si="11"/>
        <v>31</v>
      </c>
      <c r="AM4" s="19">
        <f t="shared" si="11"/>
        <v>29</v>
      </c>
      <c r="AN4" s="19">
        <f t="shared" si="11"/>
        <v>31</v>
      </c>
      <c r="AO4" s="19">
        <f t="shared" si="11"/>
        <v>30</v>
      </c>
      <c r="AP4" s="19">
        <f t="shared" si="11"/>
        <v>31</v>
      </c>
      <c r="AQ4" s="19">
        <f t="shared" si="11"/>
        <v>30</v>
      </c>
      <c r="AR4" s="19">
        <f>AS3-AR3</f>
        <v>31</v>
      </c>
      <c r="AS4" s="19">
        <f t="shared" si="11"/>
        <v>31</v>
      </c>
      <c r="AT4" s="19">
        <f t="shared" ref="AT4:BO4" si="12">AU3-AT3</f>
        <v>30</v>
      </c>
      <c r="AU4" s="19">
        <f t="shared" si="12"/>
        <v>31</v>
      </c>
      <c r="AV4" s="19">
        <f t="shared" si="12"/>
        <v>30</v>
      </c>
      <c r="AW4" s="19">
        <f t="shared" si="12"/>
        <v>31</v>
      </c>
      <c r="AX4" s="19">
        <f t="shared" si="12"/>
        <v>31</v>
      </c>
      <c r="AY4" s="19">
        <f t="shared" si="12"/>
        <v>28</v>
      </c>
      <c r="AZ4" s="19">
        <f t="shared" si="12"/>
        <v>31</v>
      </c>
      <c r="BA4" s="19">
        <f t="shared" si="12"/>
        <v>30</v>
      </c>
      <c r="BB4" s="19">
        <f t="shared" si="12"/>
        <v>31</v>
      </c>
      <c r="BC4" s="19">
        <f t="shared" si="12"/>
        <v>30</v>
      </c>
      <c r="BD4" s="19">
        <f t="shared" si="12"/>
        <v>31</v>
      </c>
      <c r="BE4" s="19">
        <f t="shared" si="12"/>
        <v>31</v>
      </c>
      <c r="BF4" s="19">
        <f t="shared" si="12"/>
        <v>30</v>
      </c>
      <c r="BG4" s="19">
        <f t="shared" si="12"/>
        <v>31</v>
      </c>
      <c r="BH4" s="19">
        <f t="shared" si="12"/>
        <v>30</v>
      </c>
      <c r="BI4" s="19">
        <f t="shared" si="12"/>
        <v>31</v>
      </c>
      <c r="BJ4" s="19">
        <f t="shared" si="12"/>
        <v>31</v>
      </c>
      <c r="BK4" s="19">
        <f t="shared" si="12"/>
        <v>28</v>
      </c>
      <c r="BL4" s="19">
        <f t="shared" si="12"/>
        <v>31</v>
      </c>
      <c r="BM4" s="19">
        <f t="shared" si="12"/>
        <v>30</v>
      </c>
      <c r="BN4" s="19">
        <f t="shared" si="12"/>
        <v>31</v>
      </c>
      <c r="BO4" s="19">
        <f t="shared" si="12"/>
        <v>30</v>
      </c>
      <c r="BP4" s="19">
        <f t="shared" ref="BP4:BQ4" si="13">BQ3-BP3</f>
        <v>31</v>
      </c>
      <c r="BQ4" s="19">
        <f t="shared" si="13"/>
        <v>31</v>
      </c>
    </row>
    <row r="5" spans="1:127">
      <c r="A5" s="18" t="s">
        <v>9</v>
      </c>
      <c r="B5" s="12"/>
      <c r="C5" s="7"/>
      <c r="D5" s="7"/>
      <c r="E5" s="7"/>
      <c r="F5" s="7"/>
      <c r="G5" s="7"/>
      <c r="H5" s="7"/>
      <c r="I5" s="7"/>
      <c r="J5" s="19">
        <v>1</v>
      </c>
      <c r="K5" s="19">
        <f>J5+1</f>
        <v>2</v>
      </c>
      <c r="L5" s="19">
        <f t="shared" ref="L5:AS5" si="14">K5+1</f>
        <v>3</v>
      </c>
      <c r="M5" s="19">
        <f t="shared" si="14"/>
        <v>4</v>
      </c>
      <c r="N5" s="19">
        <f t="shared" si="14"/>
        <v>5</v>
      </c>
      <c r="O5" s="19">
        <f t="shared" si="14"/>
        <v>6</v>
      </c>
      <c r="P5" s="19">
        <f t="shared" si="14"/>
        <v>7</v>
      </c>
      <c r="Q5" s="19">
        <f t="shared" si="14"/>
        <v>8</v>
      </c>
      <c r="R5" s="19">
        <f t="shared" si="14"/>
        <v>9</v>
      </c>
      <c r="S5" s="19">
        <f t="shared" si="14"/>
        <v>10</v>
      </c>
      <c r="T5" s="19">
        <f t="shared" si="14"/>
        <v>11</v>
      </c>
      <c r="U5" s="19">
        <f t="shared" si="14"/>
        <v>12</v>
      </c>
      <c r="V5" s="19">
        <f t="shared" si="14"/>
        <v>13</v>
      </c>
      <c r="W5" s="19">
        <f t="shared" si="14"/>
        <v>14</v>
      </c>
      <c r="X5" s="19">
        <f t="shared" si="14"/>
        <v>15</v>
      </c>
      <c r="Y5" s="19">
        <f t="shared" si="14"/>
        <v>16</v>
      </c>
      <c r="Z5" s="19">
        <f t="shared" si="14"/>
        <v>17</v>
      </c>
      <c r="AA5" s="19">
        <f t="shared" si="14"/>
        <v>18</v>
      </c>
      <c r="AB5" s="19">
        <f t="shared" si="14"/>
        <v>19</v>
      </c>
      <c r="AC5" s="19">
        <f t="shared" si="14"/>
        <v>20</v>
      </c>
      <c r="AD5" s="19">
        <f t="shared" si="14"/>
        <v>21</v>
      </c>
      <c r="AE5" s="19">
        <f t="shared" si="14"/>
        <v>22</v>
      </c>
      <c r="AF5" s="19">
        <f t="shared" si="14"/>
        <v>23</v>
      </c>
      <c r="AG5" s="19">
        <f t="shared" si="14"/>
        <v>24</v>
      </c>
      <c r="AH5" s="19">
        <f t="shared" si="14"/>
        <v>25</v>
      </c>
      <c r="AI5" s="19">
        <f t="shared" si="14"/>
        <v>26</v>
      </c>
      <c r="AJ5" s="19">
        <f t="shared" si="14"/>
        <v>27</v>
      </c>
      <c r="AK5" s="19">
        <f t="shared" si="14"/>
        <v>28</v>
      </c>
      <c r="AL5" s="19">
        <f t="shared" si="14"/>
        <v>29</v>
      </c>
      <c r="AM5" s="19">
        <f t="shared" si="14"/>
        <v>30</v>
      </c>
      <c r="AN5" s="19">
        <f t="shared" si="14"/>
        <v>31</v>
      </c>
      <c r="AO5" s="19">
        <f t="shared" si="14"/>
        <v>32</v>
      </c>
      <c r="AP5" s="19">
        <f t="shared" si="14"/>
        <v>33</v>
      </c>
      <c r="AQ5" s="19">
        <f>AP5+1</f>
        <v>34</v>
      </c>
      <c r="AR5" s="19">
        <f t="shared" si="14"/>
        <v>35</v>
      </c>
      <c r="AS5" s="19">
        <f t="shared" si="14"/>
        <v>36</v>
      </c>
      <c r="AT5" s="19">
        <f t="shared" ref="AT5:BP5" si="15">AS5+1</f>
        <v>37</v>
      </c>
      <c r="AU5" s="19">
        <f t="shared" si="15"/>
        <v>38</v>
      </c>
      <c r="AV5" s="19">
        <f t="shared" si="15"/>
        <v>39</v>
      </c>
      <c r="AW5" s="19">
        <f t="shared" si="15"/>
        <v>40</v>
      </c>
      <c r="AX5" s="19">
        <f t="shared" si="15"/>
        <v>41</v>
      </c>
      <c r="AY5" s="19">
        <f t="shared" si="15"/>
        <v>42</v>
      </c>
      <c r="AZ5" s="19">
        <f t="shared" si="15"/>
        <v>43</v>
      </c>
      <c r="BA5" s="19">
        <f t="shared" si="15"/>
        <v>44</v>
      </c>
      <c r="BB5" s="19">
        <f t="shared" si="15"/>
        <v>45</v>
      </c>
      <c r="BC5" s="19">
        <f t="shared" si="15"/>
        <v>46</v>
      </c>
      <c r="BD5" s="19">
        <f t="shared" si="15"/>
        <v>47</v>
      </c>
      <c r="BE5" s="19">
        <f t="shared" si="15"/>
        <v>48</v>
      </c>
      <c r="BF5" s="19">
        <f t="shared" si="15"/>
        <v>49</v>
      </c>
      <c r="BG5" s="19">
        <f t="shared" si="15"/>
        <v>50</v>
      </c>
      <c r="BH5" s="19">
        <f t="shared" si="15"/>
        <v>51</v>
      </c>
      <c r="BI5" s="19">
        <f t="shared" si="15"/>
        <v>52</v>
      </c>
      <c r="BJ5" s="19">
        <f t="shared" si="15"/>
        <v>53</v>
      </c>
      <c r="BK5" s="19">
        <f t="shared" si="15"/>
        <v>54</v>
      </c>
      <c r="BL5" s="19">
        <f t="shared" si="15"/>
        <v>55</v>
      </c>
      <c r="BM5" s="19">
        <f t="shared" si="15"/>
        <v>56</v>
      </c>
      <c r="BN5" s="19">
        <f t="shared" si="15"/>
        <v>57</v>
      </c>
      <c r="BO5" s="19">
        <f t="shared" si="15"/>
        <v>58</v>
      </c>
      <c r="BP5" s="19">
        <f t="shared" si="15"/>
        <v>59</v>
      </c>
      <c r="BQ5" s="19">
        <f t="shared" ref="BQ5" si="16">BP5+1</f>
        <v>60</v>
      </c>
      <c r="BR5" s="2"/>
      <c r="BS5" s="2"/>
    </row>
    <row r="6" spans="1:127">
      <c r="B6" s="12"/>
      <c r="C6" s="7"/>
      <c r="D6" s="7"/>
      <c r="E6" s="7"/>
      <c r="F6" s="7"/>
      <c r="G6" s="7"/>
      <c r="H6" s="7"/>
      <c r="I6" s="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BS6" s="4"/>
      <c r="BU6" s="4"/>
      <c r="BW6" s="4"/>
      <c r="BY6" s="4"/>
      <c r="CA6" s="4"/>
      <c r="CC6" s="4"/>
      <c r="CE6" s="4"/>
      <c r="CG6" s="4"/>
      <c r="CI6" s="4"/>
      <c r="CK6" s="4"/>
      <c r="CM6" s="4"/>
      <c r="CO6" s="4"/>
      <c r="CQ6" s="4"/>
      <c r="CS6" s="4"/>
      <c r="CU6" s="4"/>
      <c r="CW6" s="4"/>
      <c r="CY6" s="4"/>
      <c r="DA6" s="4"/>
      <c r="DC6" s="4"/>
      <c r="DE6" s="4"/>
      <c r="DG6" s="4"/>
      <c r="DI6" s="4"/>
      <c r="DK6" s="4"/>
      <c r="DM6" s="4"/>
      <c r="DO6" s="4"/>
      <c r="DQ6" s="4"/>
      <c r="DS6" s="4"/>
      <c r="DU6" s="4"/>
      <c r="DW6" s="4"/>
    </row>
    <row r="7" spans="1:127">
      <c r="B7" s="12"/>
      <c r="C7" s="7"/>
      <c r="D7" s="7"/>
      <c r="E7" s="7"/>
      <c r="F7" s="7"/>
      <c r="G7" s="7"/>
      <c r="H7" s="7"/>
      <c r="I7" s="7"/>
      <c r="J7" s="4"/>
      <c r="K7" s="4"/>
      <c r="L7" s="5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1:127">
      <c r="A8" s="18" t="s">
        <v>269</v>
      </c>
      <c r="B8" s="12"/>
      <c r="C8" s="7"/>
      <c r="D8" s="7"/>
      <c r="E8" s="7"/>
      <c r="F8" s="7"/>
      <c r="G8" s="7"/>
      <c r="H8" s="7"/>
      <c r="I8" s="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</row>
    <row r="9" spans="1:127">
      <c r="A9" s="68" t="s">
        <v>34</v>
      </c>
      <c r="B9" s="12"/>
      <c r="C9" s="25">
        <f t="shared" ref="C9:H16" si="17">SUMIF($J$2:$BQ$2,C$2,$J9:$BQS9)</f>
        <v>-55205.14859513886</v>
      </c>
      <c r="D9" s="25">
        <f t="shared" si="17"/>
        <v>866023.47875033319</v>
      </c>
      <c r="E9" s="25">
        <f t="shared" si="17"/>
        <v>1136168.350127094</v>
      </c>
      <c r="F9" s="25">
        <f t="shared" si="17"/>
        <v>1195646.565695656</v>
      </c>
      <c r="G9" s="25">
        <f t="shared" si="17"/>
        <v>1258178.3696218017</v>
      </c>
      <c r="H9" s="25">
        <f t="shared" si="17"/>
        <v>1067200.0932502607</v>
      </c>
      <c r="I9" s="3"/>
      <c r="J9" s="25">
        <f>ОДДС!C8</f>
        <v>-1695.3078999999993</v>
      </c>
      <c r="K9" s="25">
        <f>ОДДС!D8</f>
        <v>-1695.3078999999993</v>
      </c>
      <c r="L9" s="25">
        <f>ОДДС!E8</f>
        <v>-30621.141233333325</v>
      </c>
      <c r="M9" s="25">
        <f>ОДДС!F8</f>
        <v>-21193.39156180554</v>
      </c>
      <c r="N9" s="25">
        <f>ОДДС!G8</f>
        <v>-1633.908020805558</v>
      </c>
      <c r="O9" s="25">
        <f>ОДДС!H8</f>
        <v>18775.466979194469</v>
      </c>
      <c r="P9" s="25">
        <f>ОДДС!I8</f>
        <v>39184.841979194418</v>
      </c>
      <c r="Q9" s="25">
        <f>ОДДС!J8</f>
        <v>89966.341979194432</v>
      </c>
      <c r="R9" s="25">
        <f>ОДДС!K8</f>
        <v>89966.341979194432</v>
      </c>
      <c r="S9" s="25">
        <f>ОДДС!L8</f>
        <v>89966.341979194432</v>
      </c>
      <c r="T9" s="25">
        <f>ОДДС!M8</f>
        <v>89966.341979194432</v>
      </c>
      <c r="U9" s="25">
        <f>ОДДС!N8</f>
        <v>89966.341979194432</v>
      </c>
      <c r="V9" s="25">
        <f>ОДДС!O8</f>
        <v>89966.341979194432</v>
      </c>
      <c r="W9" s="25">
        <f>ОДДС!P8</f>
        <v>89966.341979194432</v>
      </c>
      <c r="X9" s="25">
        <f>ОДДС!Q8</f>
        <v>89966.341979194432</v>
      </c>
      <c r="Y9" s="25">
        <f>ОДДС!R8</f>
        <v>89966.341979194432</v>
      </c>
      <c r="Z9" s="25">
        <f>ОДДС!S8</f>
        <v>94680.695843924477</v>
      </c>
      <c r="AA9" s="25">
        <f>ОДДС!T8</f>
        <v>94680.695843924477</v>
      </c>
      <c r="AB9" s="25">
        <f>ОДДС!U8</f>
        <v>94680.695843924477</v>
      </c>
      <c r="AC9" s="25">
        <f>ОДДС!V8</f>
        <v>94680.695843924477</v>
      </c>
      <c r="AD9" s="25">
        <f>ОДДС!W8</f>
        <v>94680.695843924477</v>
      </c>
      <c r="AE9" s="25">
        <f>ОДДС!X8</f>
        <v>94680.695843924477</v>
      </c>
      <c r="AF9" s="25">
        <f>ОДДС!Y8</f>
        <v>94680.695843924477</v>
      </c>
      <c r="AG9" s="25">
        <f>ОДДС!Z8</f>
        <v>94680.695843924477</v>
      </c>
      <c r="AH9" s="25">
        <f>ОДДС!AA8</f>
        <v>94680.695843924477</v>
      </c>
      <c r="AI9" s="25">
        <f>ОДДС!AB8</f>
        <v>94680.695843924477</v>
      </c>
      <c r="AJ9" s="25">
        <f>ОДДС!AC8</f>
        <v>94680.695843924477</v>
      </c>
      <c r="AK9" s="25">
        <f>ОДДС!AD8</f>
        <v>94680.695843924477</v>
      </c>
      <c r="AL9" s="25">
        <f>ОДДС!AE8</f>
        <v>99637.213807971333</v>
      </c>
      <c r="AM9" s="25">
        <f>ОДДС!AF8</f>
        <v>99637.213807971333</v>
      </c>
      <c r="AN9" s="25">
        <f>ОДДС!AG8</f>
        <v>99637.213807971333</v>
      </c>
      <c r="AO9" s="25">
        <f>ОДДС!AH8</f>
        <v>99637.213807971333</v>
      </c>
      <c r="AP9" s="25">
        <f>ОДДС!AI8</f>
        <v>99637.213807971333</v>
      </c>
      <c r="AQ9" s="25">
        <f>ОДДС!AJ8</f>
        <v>99637.213807971333</v>
      </c>
      <c r="AR9" s="25">
        <f>ОДДС!AK8</f>
        <v>99637.213807971333</v>
      </c>
      <c r="AS9" s="25">
        <f>ОДДС!AL8</f>
        <v>99637.213807971333</v>
      </c>
      <c r="AT9" s="25">
        <f>ОДДС!AM8</f>
        <v>99637.213807971333</v>
      </c>
      <c r="AU9" s="25">
        <f>ОДДС!AN8</f>
        <v>99637.213807971333</v>
      </c>
      <c r="AV9" s="25">
        <f>ОДДС!AO8</f>
        <v>99637.213807971333</v>
      </c>
      <c r="AW9" s="25">
        <f>ОДДС!AP8</f>
        <v>99637.213807971333</v>
      </c>
      <c r="AX9" s="25">
        <f>ОДДС!AQ8</f>
        <v>104848.19746848347</v>
      </c>
      <c r="AY9" s="25">
        <f>ОДДС!AR8</f>
        <v>104848.19746848347</v>
      </c>
      <c r="AZ9" s="25">
        <f>ОДДС!AS8</f>
        <v>104848.19746848347</v>
      </c>
      <c r="BA9" s="25">
        <f>ОДДС!AT8</f>
        <v>104848.19746848347</v>
      </c>
      <c r="BB9" s="25">
        <f>ОДДС!AU8</f>
        <v>104848.19746848347</v>
      </c>
      <c r="BC9" s="25">
        <f>ОДДС!AV8</f>
        <v>104848.19746848347</v>
      </c>
      <c r="BD9" s="25">
        <f>ОДДС!AW8</f>
        <v>104848.19746848347</v>
      </c>
      <c r="BE9" s="25">
        <f>ОДДС!AX8</f>
        <v>104848.19746848346</v>
      </c>
      <c r="BF9" s="25">
        <f>ОДДС!AY8</f>
        <v>104848.19746848347</v>
      </c>
      <c r="BG9" s="25">
        <f>ОДДС!AZ8</f>
        <v>104848.19746848347</v>
      </c>
      <c r="BH9" s="25">
        <f>ОДДС!BA8</f>
        <v>104848.19746848347</v>
      </c>
      <c r="BI9" s="25">
        <f>ОДДС!BB8</f>
        <v>104848.19746848347</v>
      </c>
      <c r="BJ9" s="25">
        <f>ОДДС!BC8</f>
        <v>110326.56930423179</v>
      </c>
      <c r="BK9" s="25">
        <f>ОДДС!BD8</f>
        <v>110326.56930423179</v>
      </c>
      <c r="BL9" s="25">
        <f>ОДДС!BE8</f>
        <v>110326.56930423179</v>
      </c>
      <c r="BM9" s="25">
        <f>ОДДС!BF8</f>
        <v>110326.56930423179</v>
      </c>
      <c r="BN9" s="25">
        <f>ОДДС!BG8</f>
        <v>110326.56930423179</v>
      </c>
      <c r="BO9" s="25">
        <f>ОДДС!BH8</f>
        <v>110326.56930423179</v>
      </c>
      <c r="BP9" s="25">
        <f>ОДДС!BI8</f>
        <v>110326.56930423179</v>
      </c>
      <c r="BQ9" s="25">
        <f>ОДДС!BJ8</f>
        <v>294914.10812063818</v>
      </c>
    </row>
    <row r="10" spans="1:127">
      <c r="A10" s="68" t="s">
        <v>124</v>
      </c>
      <c r="B10" s="12"/>
      <c r="C10" s="25">
        <f t="shared" si="17"/>
        <v>0</v>
      </c>
      <c r="D10" s="25">
        <f t="shared" si="17"/>
        <v>-188580.42525622924</v>
      </c>
      <c r="E10" s="25">
        <f t="shared" si="17"/>
        <v>-274507.43983833975</v>
      </c>
      <c r="F10" s="25">
        <f t="shared" si="17"/>
        <v>-291057.61399432586</v>
      </c>
      <c r="G10" s="25">
        <f t="shared" si="17"/>
        <v>-308842.98838924913</v>
      </c>
      <c r="H10" s="25">
        <f t="shared" si="17"/>
        <v>-264486.63277962466</v>
      </c>
      <c r="I10" s="3"/>
      <c r="J10" s="25">
        <f>ОДДС!C9</f>
        <v>0</v>
      </c>
      <c r="K10" s="25">
        <f>ОДДС!D9</f>
        <v>0</v>
      </c>
      <c r="L10" s="25">
        <f>ОДДС!E9</f>
        <v>0</v>
      </c>
      <c r="M10" s="25">
        <f>ОДДС!F9</f>
        <v>0</v>
      </c>
      <c r="N10" s="25">
        <f>ОДДС!G9</f>
        <v>0</v>
      </c>
      <c r="O10" s="25">
        <f>ОДДС!H9</f>
        <v>0</v>
      </c>
      <c r="P10" s="25">
        <f>ОДДС!I9</f>
        <v>0</v>
      </c>
      <c r="Q10" s="25">
        <f>ОДДС!J9</f>
        <v>-15752.396417502247</v>
      </c>
      <c r="R10" s="25">
        <f>ОДДС!K9</f>
        <v>-21574.860342778768</v>
      </c>
      <c r="S10" s="25">
        <f>ОДДС!L9</f>
        <v>-21582.708467563032</v>
      </c>
      <c r="T10" s="25">
        <f>ОДДС!M9</f>
        <v>-21590.72009494697</v>
      </c>
      <c r="U10" s="25">
        <f>ОДДС!N9</f>
        <v>-21598.898631234741</v>
      </c>
      <c r="V10" s="25">
        <f>ОДДС!O9</f>
        <v>-21607.247553695168</v>
      </c>
      <c r="W10" s="25">
        <f>ОДДС!P9</f>
        <v>-21615.770412040176</v>
      </c>
      <c r="X10" s="25">
        <f>ОДДС!Q9</f>
        <v>-21624.470829934056</v>
      </c>
      <c r="Y10" s="25">
        <f>ОДДС!R9</f>
        <v>-21633.35250653408</v>
      </c>
      <c r="Z10" s="25">
        <f>ОДДС!S9</f>
        <v>-22821.007684245746</v>
      </c>
      <c r="AA10" s="25">
        <f>ОДДС!T9</f>
        <v>-22830.263285598438</v>
      </c>
      <c r="AB10" s="25">
        <f>ОДДС!U9</f>
        <v>-22839.711711979304</v>
      </c>
      <c r="AC10" s="25">
        <f>ОДДС!V9</f>
        <v>-22849.356980576442</v>
      </c>
      <c r="AD10" s="25">
        <f>ОДДС!W9</f>
        <v>-22859.203192269371</v>
      </c>
      <c r="AE10" s="25">
        <f>ОДДС!X9</f>
        <v>-22869.254533372557</v>
      </c>
      <c r="AF10" s="25">
        <f>ОДДС!Y9</f>
        <v>-22879.515277415368</v>
      </c>
      <c r="AG10" s="25">
        <f>ОДДС!Z9</f>
        <v>-22889.989786959108</v>
      </c>
      <c r="AH10" s="25">
        <f>ОДДС!AA9</f>
        <v>-22900.682515451655</v>
      </c>
      <c r="AI10" s="25">
        <f>ОДДС!AB9</f>
        <v>-22911.598009121139</v>
      </c>
      <c r="AJ10" s="25">
        <f>ОДДС!AC9</f>
        <v>-22922.740908908745</v>
      </c>
      <c r="AK10" s="25">
        <f>ОДДС!AD9</f>
        <v>-22934.115952441876</v>
      </c>
      <c r="AL10" s="25">
        <f>ОДДС!AE9</f>
        <v>-24184.857467060392</v>
      </c>
      <c r="AM10" s="25">
        <f>ОДДС!AF9</f>
        <v>-24196.711407825642</v>
      </c>
      <c r="AN10" s="25">
        <f>ОДДС!AG9</f>
        <v>-24208.812305690175</v>
      </c>
      <c r="AO10" s="25">
        <f>ОДДС!AH9</f>
        <v>-24221.165305593546</v>
      </c>
      <c r="AP10" s="25">
        <f>ОДДС!AI9</f>
        <v>-24233.775659661565</v>
      </c>
      <c r="AQ10" s="25">
        <f>ОДДС!AJ9</f>
        <v>-24246.648729439345</v>
      </c>
      <c r="AR10" s="25">
        <f>ОДДС!AK9</f>
        <v>-24259.789988170814</v>
      </c>
      <c r="AS10" s="25">
        <f>ОДДС!AL9</f>
        <v>-24273.205023125891</v>
      </c>
      <c r="AT10" s="25">
        <f>ОДДС!AM9</f>
        <v>-24286.899537975842</v>
      </c>
      <c r="AU10" s="25">
        <f>ОДДС!AN9</f>
        <v>-24300.879355218494</v>
      </c>
      <c r="AV10" s="25">
        <f>ОДДС!AO9</f>
        <v>-24315.150418653677</v>
      </c>
      <c r="AW10" s="25">
        <f>ОДДС!AP9</f>
        <v>-24329.718795910478</v>
      </c>
      <c r="AX10" s="25">
        <f>ОДДС!AQ9</f>
        <v>-25647.336596154804</v>
      </c>
      <c r="AY10" s="25">
        <f>ОДДС!AR9</f>
        <v>-25662.518312211025</v>
      </c>
      <c r="AZ10" s="25">
        <f>ОДДС!AS9</f>
        <v>-25678.016314018416</v>
      </c>
      <c r="BA10" s="25">
        <f>ОДДС!AT9</f>
        <v>-25693.837190863458</v>
      </c>
      <c r="BB10" s="25">
        <f>ОДДС!AU9</f>
        <v>-25709.987669309441</v>
      </c>
      <c r="BC10" s="25">
        <f>ОДДС!AV9</f>
        <v>-25726.474616056366</v>
      </c>
      <c r="BD10" s="25">
        <f>ОДДС!AW9</f>
        <v>-25743.305040860549</v>
      </c>
      <c r="BE10" s="25">
        <f>ОДДС!AX9</f>
        <v>-25760.48609951479</v>
      </c>
      <c r="BF10" s="25">
        <f>ОДДС!AY9</f>
        <v>-25778.025096891011</v>
      </c>
      <c r="BG10" s="25">
        <f>ОДДС!AZ9</f>
        <v>-25795.929490045906</v>
      </c>
      <c r="BH10" s="25">
        <f>ОДДС!BA9</f>
        <v>-25814.206891391514</v>
      </c>
      <c r="BI10" s="25">
        <f>ОДДС!BB9</f>
        <v>-25832.865071931854</v>
      </c>
      <c r="BJ10" s="25">
        <f>ОДДС!BC9</f>
        <v>-27221.504923503824</v>
      </c>
      <c r="BK10" s="25">
        <f>ОДДС!BD9</f>
        <v>-27240.948626401958</v>
      </c>
      <c r="BL10" s="25">
        <f>ОДДС!BE9</f>
        <v>-27260.797406443802</v>
      </c>
      <c r="BM10" s="25">
        <f>ОДДС!BF9</f>
        <v>-27281.059702736515</v>
      </c>
      <c r="BN10" s="25">
        <f>ОДДС!BG9</f>
        <v>-27301.744130201987</v>
      </c>
      <c r="BO10" s="25">
        <f>ОДДС!BH9</f>
        <v>-27322.859483239678</v>
      </c>
      <c r="BP10" s="25">
        <f>ОДДС!BI9</f>
        <v>-27344.414739465632</v>
      </c>
      <c r="BQ10" s="25">
        <f>ОДДС!BJ9</f>
        <v>-73513.303767631267</v>
      </c>
    </row>
    <row r="11" spans="1:127">
      <c r="A11" s="68" t="s">
        <v>211</v>
      </c>
      <c r="B11" s="12"/>
      <c r="C11" s="25">
        <f t="shared" si="17"/>
        <v>17752.40366196238</v>
      </c>
      <c r="D11" s="25">
        <f t="shared" si="17"/>
        <v>-10600.954710499253</v>
      </c>
      <c r="E11" s="25">
        <f t="shared" si="17"/>
        <v>462.91393928101752</v>
      </c>
      <c r="F11" s="25">
        <f t="shared" si="17"/>
        <v>23496.85663889526</v>
      </c>
      <c r="G11" s="25">
        <f t="shared" si="17"/>
        <v>1719.8447920592735</v>
      </c>
      <c r="H11" s="25">
        <f t="shared" si="17"/>
        <v>-38678.976797446987</v>
      </c>
      <c r="I11" s="3"/>
      <c r="J11" s="25">
        <f>ОДДС!C10</f>
        <v>872.34289999999987</v>
      </c>
      <c r="K11" s="25">
        <f>ОДДС!D10</f>
        <v>-28.140093548387085</v>
      </c>
      <c r="L11" s="25">
        <f>ОДДС!E10</f>
        <v>19592.86231577061</v>
      </c>
      <c r="M11" s="25">
        <f>ОДДС!F10</f>
        <v>-2684.661460259842</v>
      </c>
      <c r="N11" s="25">
        <f>ОДДС!G10</f>
        <v>-7185.022254731186</v>
      </c>
      <c r="O11" s="25">
        <f>ОДДС!H10</f>
        <v>-7689.0930635109689</v>
      </c>
      <c r="P11" s="25">
        <f>ОДДС!I10</f>
        <v>-8246.1811300373811</v>
      </c>
      <c r="Q11" s="25">
        <f>ОДДС!J10</f>
        <v>-12021.223904380575</v>
      </c>
      <c r="R11" s="25">
        <f>ОДДС!K10</f>
        <v>24483.960322397616</v>
      </c>
      <c r="S11" s="25">
        <f>ОДДС!L10</f>
        <v>244.3429125076218</v>
      </c>
      <c r="T11" s="25">
        <f>ОДДС!M10</f>
        <v>-228.99476524806232</v>
      </c>
      <c r="U11" s="25">
        <f>ОДДС!N10</f>
        <v>7.9147125365561806</v>
      </c>
      <c r="V11" s="25">
        <f>ОДДС!O10</f>
        <v>245.61913884364185</v>
      </c>
      <c r="W11" s="25">
        <f>ОДДС!P10</f>
        <v>-229.29160903193406</v>
      </c>
      <c r="X11" s="25">
        <f>ОДДС!Q10</f>
        <v>246.51488527082256</v>
      </c>
      <c r="Y11" s="25">
        <f>ОДДС!R10</f>
        <v>-229.49995511540328</v>
      </c>
      <c r="Z11" s="25">
        <f>ОДДС!S10</f>
        <v>353.45432489764062</v>
      </c>
      <c r="AA11" s="25">
        <f>ОДДС!T10</f>
        <v>814.01349534510518</v>
      </c>
      <c r="AB11" s="25">
        <f>ОДДС!U10</f>
        <v>-795.91282334487187</v>
      </c>
      <c r="AC11" s="25">
        <f>ОДДС!V10</f>
        <v>260.41206687584054</v>
      </c>
      <c r="AD11" s="25">
        <f>ОДДС!W10</f>
        <v>-241.54934401449282</v>
      </c>
      <c r="AE11" s="25">
        <f>ОДДС!X10</f>
        <v>261.44689681060845</v>
      </c>
      <c r="AF11" s="25">
        <f>ОДДС!Y10</f>
        <v>-241.79004021768924</v>
      </c>
      <c r="AG11" s="25">
        <f>ОДДС!Z10</f>
        <v>10.136622139078099</v>
      </c>
      <c r="AH11" s="25">
        <f>ОДДС!AA10</f>
        <v>263.08140015768004</v>
      </c>
      <c r="AI11" s="25">
        <f>ОДДС!AB10</f>
        <v>-242.17021742023644</v>
      </c>
      <c r="AJ11" s="25">
        <f>ОДДС!AC10</f>
        <v>264.22861087735509</v>
      </c>
      <c r="AK11" s="25">
        <f>ОДДС!AD10</f>
        <v>-242.43705282500014</v>
      </c>
      <c r="AL11" s="25">
        <f>ОДДС!AE10</f>
        <v>371.53740936290706</v>
      </c>
      <c r="AM11" s="25">
        <f>ОДДС!AF10</f>
        <v>563.01444217836251</v>
      </c>
      <c r="AN11" s="25">
        <f>ОДДС!AG10</f>
        <v>-539.83234027857543</v>
      </c>
      <c r="AO11" s="25">
        <f>ОДДС!AH10</f>
        <v>28272.624288303632</v>
      </c>
      <c r="AP11" s="25">
        <f>ОДДС!AI10</f>
        <v>-1158.1740667183767</v>
      </c>
      <c r="AQ11" s="25">
        <f>ОДДС!AJ10</f>
        <v>1183.6574905641901</v>
      </c>
      <c r="AR11" s="25">
        <f>ОДДС!AK10</f>
        <v>-1940.4178178133152</v>
      </c>
      <c r="AS11" s="25">
        <f>ОДДС!AL10</f>
        <v>-847.14674036603537</v>
      </c>
      <c r="AT11" s="25">
        <f>ОДДС!AM10</f>
        <v>282.61536671585054</v>
      </c>
      <c r="AU11" s="25">
        <f>ОДДС!AN10</f>
        <v>-1897.8982711423596</v>
      </c>
      <c r="AV11" s="25">
        <f>ОДДС!AO10</f>
        <v>229.34915182017721</v>
      </c>
      <c r="AW11" s="25">
        <f>ОДДС!AP10</f>
        <v>-1022.4722737311968</v>
      </c>
      <c r="AX11" s="25">
        <f>ОДДС!AQ10</f>
        <v>1745.5591703395476</v>
      </c>
      <c r="AY11" s="25">
        <f>ОДДС!AR10</f>
        <v>3536.635270772269</v>
      </c>
      <c r="AZ11" s="25">
        <f>ОДДС!AS10</f>
        <v>-3506.945221226837</v>
      </c>
      <c r="BA11" s="25">
        <f>ОДДС!AT10</f>
        <v>1112.0365018291632</v>
      </c>
      <c r="BB11" s="25">
        <f>ОДДС!AU10</f>
        <v>-1081.0964805797848</v>
      </c>
      <c r="BC11" s="25">
        <f>ОДДС!AV10</f>
        <v>1113.7339057727077</v>
      </c>
      <c r="BD11" s="25">
        <f>ОДДС!AW10</f>
        <v>-1081.491288142628</v>
      </c>
      <c r="BE11" s="25">
        <f>ОДДС!AX10</f>
        <v>-188.63123356038705</v>
      </c>
      <c r="BF11" s="25">
        <f>ОДДС!AY10</f>
        <v>1109.5730025376542</v>
      </c>
      <c r="BG11" s="25">
        <f>ОДДС!AZ10</f>
        <v>-1075.2729471849452</v>
      </c>
      <c r="BH11" s="25">
        <f>ОДДС!BA10</f>
        <v>1111.4547416854475</v>
      </c>
      <c r="BI11" s="25">
        <f>ОДДС!BB10</f>
        <v>-1075.7106301829335</v>
      </c>
      <c r="BJ11" s="25">
        <f>ОДДС!BC10</f>
        <v>1834.4454259781633</v>
      </c>
      <c r="BK11" s="25">
        <f>ОДДС!BD10</f>
        <v>3734.9942974991282</v>
      </c>
      <c r="BL11" s="25">
        <f>ОДДС!BE10</f>
        <v>-3696.9693140088057</v>
      </c>
      <c r="BM11" s="25">
        <f>ОДДС!BF10</f>
        <v>1177.0467873316666</v>
      </c>
      <c r="BN11" s="25">
        <f>ОДДС!BG10</f>
        <v>-1137.4209256301983</v>
      </c>
      <c r="BO11" s="25">
        <f>ОДДС!BH10</f>
        <v>1179.2207061333465</v>
      </c>
      <c r="BP11" s="25">
        <f>ОДДС!BI10</f>
        <v>-1137.9265681362886</v>
      </c>
      <c r="BQ11" s="25">
        <f>ОДДС!BJ10</f>
        <v>-40632.367206613999</v>
      </c>
    </row>
    <row r="12" spans="1:127">
      <c r="A12" s="68" t="s">
        <v>36</v>
      </c>
      <c r="B12" s="12"/>
      <c r="C12" s="25">
        <f t="shared" si="17"/>
        <v>-141969.49166666667</v>
      </c>
      <c r="D12" s="25">
        <f t="shared" si="17"/>
        <v>0</v>
      </c>
      <c r="E12" s="25">
        <f t="shared" si="17"/>
        <v>0</v>
      </c>
      <c r="F12" s="25">
        <f t="shared" si="17"/>
        <v>0</v>
      </c>
      <c r="G12" s="25">
        <f t="shared" si="17"/>
        <v>0</v>
      </c>
      <c r="H12" s="25">
        <f t="shared" si="17"/>
        <v>0</v>
      </c>
      <c r="I12" s="3"/>
      <c r="J12" s="25">
        <f>ОДДС!C11</f>
        <v>-108068.07916666668</v>
      </c>
      <c r="K12" s="25">
        <f>ОДДС!D11</f>
        <v>-20340.8475</v>
      </c>
      <c r="L12" s="25">
        <f>ОДДС!E11</f>
        <v>-13560.565000000001</v>
      </c>
      <c r="M12" s="25">
        <f>ОДДС!F11</f>
        <v>0</v>
      </c>
      <c r="N12" s="25">
        <f>ОДДС!G11</f>
        <v>0</v>
      </c>
      <c r="O12" s="25">
        <f>ОДДС!H11</f>
        <v>0</v>
      </c>
      <c r="P12" s="25">
        <f>ОДДС!I11</f>
        <v>0</v>
      </c>
      <c r="Q12" s="25">
        <f>ОДДС!J11</f>
        <v>0</v>
      </c>
      <c r="R12" s="25">
        <f>ОДДС!K11</f>
        <v>0</v>
      </c>
      <c r="S12" s="25">
        <f>ОДДС!L11</f>
        <v>0</v>
      </c>
      <c r="T12" s="25">
        <f>ОДДС!M11</f>
        <v>0</v>
      </c>
      <c r="U12" s="25">
        <f>ОДДС!N11</f>
        <v>0</v>
      </c>
      <c r="V12" s="25">
        <f>ОДДС!O11</f>
        <v>0</v>
      </c>
      <c r="W12" s="25">
        <f>ОДДС!P11</f>
        <v>0</v>
      </c>
      <c r="X12" s="25">
        <f>ОДДС!Q11</f>
        <v>0</v>
      </c>
      <c r="Y12" s="25">
        <f>ОДДС!R11</f>
        <v>0</v>
      </c>
      <c r="Z12" s="25">
        <f>ОДДС!S11</f>
        <v>0</v>
      </c>
      <c r="AA12" s="25">
        <f>ОДДС!T11</f>
        <v>0</v>
      </c>
      <c r="AB12" s="25">
        <f>ОДДС!U11</f>
        <v>0</v>
      </c>
      <c r="AC12" s="25">
        <f>ОДДС!V11</f>
        <v>0</v>
      </c>
      <c r="AD12" s="25">
        <f>ОДДС!W11</f>
        <v>0</v>
      </c>
      <c r="AE12" s="25">
        <f>ОДДС!X11</f>
        <v>0</v>
      </c>
      <c r="AF12" s="25">
        <f>ОДДС!Y11</f>
        <v>0</v>
      </c>
      <c r="AG12" s="25">
        <f>ОДДС!Z11</f>
        <v>0</v>
      </c>
      <c r="AH12" s="25">
        <f>ОДДС!AA11</f>
        <v>0</v>
      </c>
      <c r="AI12" s="25">
        <f>ОДДС!AB11</f>
        <v>0</v>
      </c>
      <c r="AJ12" s="25">
        <f>ОДДС!AC11</f>
        <v>0</v>
      </c>
      <c r="AK12" s="25">
        <f>ОДДС!AD11</f>
        <v>0</v>
      </c>
      <c r="AL12" s="25">
        <f>ОДДС!AE11</f>
        <v>0</v>
      </c>
      <c r="AM12" s="25">
        <f>ОДДС!AF11</f>
        <v>0</v>
      </c>
      <c r="AN12" s="25">
        <f>ОДДС!AG11</f>
        <v>0</v>
      </c>
      <c r="AO12" s="25">
        <f>ОДДС!AH11</f>
        <v>0</v>
      </c>
      <c r="AP12" s="25">
        <f>ОДДС!AI11</f>
        <v>0</v>
      </c>
      <c r="AQ12" s="25">
        <f>ОДДС!AJ11</f>
        <v>0</v>
      </c>
      <c r="AR12" s="25">
        <f>ОДДС!AK11</f>
        <v>0</v>
      </c>
      <c r="AS12" s="25">
        <f>ОДДС!AL11</f>
        <v>0</v>
      </c>
      <c r="AT12" s="25">
        <f>ОДДС!AM11</f>
        <v>0</v>
      </c>
      <c r="AU12" s="25">
        <f>ОДДС!AN11</f>
        <v>0</v>
      </c>
      <c r="AV12" s="25">
        <f>ОДДС!AO11</f>
        <v>0</v>
      </c>
      <c r="AW12" s="25">
        <f>ОДДС!AP11</f>
        <v>0</v>
      </c>
      <c r="AX12" s="25">
        <f>ОДДС!AQ11</f>
        <v>0</v>
      </c>
      <c r="AY12" s="25">
        <f>ОДДС!AR11</f>
        <v>0</v>
      </c>
      <c r="AZ12" s="25">
        <f>ОДДС!AS11</f>
        <v>0</v>
      </c>
      <c r="BA12" s="25">
        <f>ОДДС!AT11</f>
        <v>0</v>
      </c>
      <c r="BB12" s="25">
        <f>ОДДС!AU11</f>
        <v>0</v>
      </c>
      <c r="BC12" s="25">
        <f>ОДДС!AV11</f>
        <v>0</v>
      </c>
      <c r="BD12" s="25">
        <f>ОДДС!AW11</f>
        <v>0</v>
      </c>
      <c r="BE12" s="25">
        <f>ОДДС!AX11</f>
        <v>0</v>
      </c>
      <c r="BF12" s="25">
        <f>ОДДС!AY11</f>
        <v>0</v>
      </c>
      <c r="BG12" s="25">
        <f>ОДДС!AZ11</f>
        <v>0</v>
      </c>
      <c r="BH12" s="25">
        <f>ОДДС!BA11</f>
        <v>0</v>
      </c>
      <c r="BI12" s="25">
        <f>ОДДС!BB11</f>
        <v>0</v>
      </c>
      <c r="BJ12" s="25">
        <f>ОДДС!BC11</f>
        <v>0</v>
      </c>
      <c r="BK12" s="25">
        <f>ОДДС!BD11</f>
        <v>0</v>
      </c>
      <c r="BL12" s="25">
        <f>ОДДС!BE11</f>
        <v>0</v>
      </c>
      <c r="BM12" s="25">
        <f>ОДДС!BF11</f>
        <v>0</v>
      </c>
      <c r="BN12" s="25">
        <f>ОДДС!BG11</f>
        <v>0</v>
      </c>
      <c r="BO12" s="25">
        <f>ОДДС!BH11</f>
        <v>0</v>
      </c>
      <c r="BP12" s="25">
        <f>ОДДС!BI11</f>
        <v>0</v>
      </c>
      <c r="BQ12" s="25">
        <f>ОДДС!BJ11</f>
        <v>0</v>
      </c>
    </row>
    <row r="13" spans="1:127">
      <c r="A13" s="68" t="s">
        <v>96</v>
      </c>
      <c r="B13" s="12"/>
      <c r="C13" s="25">
        <f t="shared" si="17"/>
        <v>9672.6666666666679</v>
      </c>
      <c r="D13" s="25">
        <f t="shared" si="17"/>
        <v>548440.20000000007</v>
      </c>
      <c r="E13" s="25">
        <f t="shared" si="17"/>
        <v>639846.90000000014</v>
      </c>
      <c r="F13" s="25">
        <f t="shared" si="17"/>
        <v>671839.24500000011</v>
      </c>
      <c r="G13" s="25">
        <f t="shared" si="17"/>
        <v>705431.20725000009</v>
      </c>
      <c r="H13" s="25">
        <f t="shared" si="17"/>
        <v>493801.84507500019</v>
      </c>
      <c r="I13" s="3"/>
      <c r="J13" s="25">
        <f>ОДДС!C12</f>
        <v>0</v>
      </c>
      <c r="K13" s="25">
        <f>ОДДС!D12</f>
        <v>0</v>
      </c>
      <c r="L13" s="25">
        <f>ОДДС!E12</f>
        <v>0</v>
      </c>
      <c r="M13" s="25">
        <f>ОДДС!F12</f>
        <v>9672.6666666666679</v>
      </c>
      <c r="N13" s="25">
        <f>ОДДС!G12</f>
        <v>20312.600000000002</v>
      </c>
      <c r="O13" s="25">
        <f>ОДДС!H12</f>
        <v>30468.900000000009</v>
      </c>
      <c r="P13" s="25">
        <f>ОДДС!I12</f>
        <v>40625.200000000004</v>
      </c>
      <c r="Q13" s="25">
        <f>ОДДС!J12</f>
        <v>50781.500000000007</v>
      </c>
      <c r="R13" s="25">
        <f>ОДДС!K12</f>
        <v>50781.500000000007</v>
      </c>
      <c r="S13" s="25">
        <f>ОДДС!L12</f>
        <v>50781.500000000007</v>
      </c>
      <c r="T13" s="25">
        <f>ОДДС!M12</f>
        <v>50781.500000000007</v>
      </c>
      <c r="U13" s="25">
        <f>ОДДС!N12</f>
        <v>50781.500000000007</v>
      </c>
      <c r="V13" s="25">
        <f>ОДДС!O12</f>
        <v>50781.500000000007</v>
      </c>
      <c r="W13" s="25">
        <f>ОДДС!P12</f>
        <v>50781.500000000007</v>
      </c>
      <c r="X13" s="25">
        <f>ОДДС!Q12</f>
        <v>50781.500000000007</v>
      </c>
      <c r="Y13" s="25">
        <f>ОДДС!R12</f>
        <v>50781.500000000007</v>
      </c>
      <c r="Z13" s="25">
        <f>ОДДС!S12</f>
        <v>53320.575000000012</v>
      </c>
      <c r="AA13" s="25">
        <f>ОДДС!T12</f>
        <v>53320.575000000012</v>
      </c>
      <c r="AB13" s="25">
        <f>ОДДС!U12</f>
        <v>53320.575000000012</v>
      </c>
      <c r="AC13" s="25">
        <f>ОДДС!V12</f>
        <v>53320.575000000012</v>
      </c>
      <c r="AD13" s="25">
        <f>ОДДС!W12</f>
        <v>53320.575000000012</v>
      </c>
      <c r="AE13" s="25">
        <f>ОДДС!X12</f>
        <v>53320.575000000012</v>
      </c>
      <c r="AF13" s="25">
        <f>ОДДС!Y12</f>
        <v>53320.575000000012</v>
      </c>
      <c r="AG13" s="25">
        <f>ОДДС!Z12</f>
        <v>53320.575000000012</v>
      </c>
      <c r="AH13" s="25">
        <f>ОДДС!AA12</f>
        <v>53320.575000000012</v>
      </c>
      <c r="AI13" s="25">
        <f>ОДДС!AB12</f>
        <v>53320.575000000012</v>
      </c>
      <c r="AJ13" s="25">
        <f>ОДДС!AC12</f>
        <v>53320.575000000012</v>
      </c>
      <c r="AK13" s="25">
        <f>ОДДС!AD12</f>
        <v>53320.575000000012</v>
      </c>
      <c r="AL13" s="25">
        <f>ОДДС!AE12</f>
        <v>55986.603750000009</v>
      </c>
      <c r="AM13" s="25">
        <f>ОДДС!AF12</f>
        <v>55986.603750000009</v>
      </c>
      <c r="AN13" s="25">
        <f>ОДДС!AG12</f>
        <v>55986.603750000009</v>
      </c>
      <c r="AO13" s="25">
        <f>ОДДС!AH12</f>
        <v>55986.603750000009</v>
      </c>
      <c r="AP13" s="25">
        <f>ОДДС!AI12</f>
        <v>55986.603750000009</v>
      </c>
      <c r="AQ13" s="25">
        <f>ОДДС!AJ12</f>
        <v>55986.603750000009</v>
      </c>
      <c r="AR13" s="25">
        <f>ОДДС!AK12</f>
        <v>55986.603750000009</v>
      </c>
      <c r="AS13" s="25">
        <f>ОДДС!AL12</f>
        <v>55986.603750000009</v>
      </c>
      <c r="AT13" s="25">
        <f>ОДДС!AM12</f>
        <v>55986.603750000009</v>
      </c>
      <c r="AU13" s="25">
        <f>ОДДС!AN12</f>
        <v>55986.603750000009</v>
      </c>
      <c r="AV13" s="25">
        <f>ОДДС!AO12</f>
        <v>55986.603750000009</v>
      </c>
      <c r="AW13" s="25">
        <f>ОДДС!AP12</f>
        <v>55986.603750000009</v>
      </c>
      <c r="AX13" s="25">
        <f>ОДДС!AQ12</f>
        <v>58785.933937500027</v>
      </c>
      <c r="AY13" s="25">
        <f>ОДДС!AR12</f>
        <v>58785.933937500027</v>
      </c>
      <c r="AZ13" s="25">
        <f>ОДДС!AS12</f>
        <v>58785.933937500027</v>
      </c>
      <c r="BA13" s="25">
        <f>ОДДС!AT12</f>
        <v>58785.933937500027</v>
      </c>
      <c r="BB13" s="25">
        <f>ОДДС!AU12</f>
        <v>58785.933937500027</v>
      </c>
      <c r="BC13" s="25">
        <f>ОДДС!AV12</f>
        <v>58785.933937500027</v>
      </c>
      <c r="BD13" s="25">
        <f>ОДДС!AW12</f>
        <v>58785.933937500027</v>
      </c>
      <c r="BE13" s="25">
        <f>ОДДС!AX12</f>
        <v>58785.933937500027</v>
      </c>
      <c r="BF13" s="25">
        <f>ОДДС!AY12</f>
        <v>58785.933937500027</v>
      </c>
      <c r="BG13" s="25">
        <f>ОДДС!AZ12</f>
        <v>58785.933937500027</v>
      </c>
      <c r="BH13" s="25">
        <f>ОДДС!BA12</f>
        <v>58785.933937500027</v>
      </c>
      <c r="BI13" s="25">
        <f>ОДДС!BB12</f>
        <v>58785.933937500027</v>
      </c>
      <c r="BJ13" s="25">
        <f>ОДДС!BC12</f>
        <v>61725.230634375039</v>
      </c>
      <c r="BK13" s="25">
        <f>ОДДС!BD12</f>
        <v>61725.230634375039</v>
      </c>
      <c r="BL13" s="25">
        <f>ОДДС!BE12</f>
        <v>61725.230634375039</v>
      </c>
      <c r="BM13" s="25">
        <f>ОДДС!BF12</f>
        <v>61725.230634375039</v>
      </c>
      <c r="BN13" s="25">
        <f>ОДДС!BG12</f>
        <v>61725.230634375039</v>
      </c>
      <c r="BO13" s="25">
        <f>ОДДС!BH12</f>
        <v>61725.230634375039</v>
      </c>
      <c r="BP13" s="25">
        <f>ОДДС!BI12</f>
        <v>61725.230634375039</v>
      </c>
      <c r="BQ13" s="25">
        <f>ОДДС!BJ12</f>
        <v>61725.230634375039</v>
      </c>
    </row>
    <row r="14" spans="1:127">
      <c r="A14" s="68" t="s">
        <v>117</v>
      </c>
      <c r="B14" s="12"/>
      <c r="C14" s="25">
        <f t="shared" si="17"/>
        <v>-46094.584719027785</v>
      </c>
      <c r="D14" s="25">
        <f t="shared" si="17"/>
        <v>-350200.91752993333</v>
      </c>
      <c r="E14" s="25">
        <f t="shared" si="17"/>
        <v>-386827.60565298144</v>
      </c>
      <c r="F14" s="25">
        <f t="shared" si="17"/>
        <v>-406150.73880962073</v>
      </c>
      <c r="G14" s="25">
        <f t="shared" si="17"/>
        <v>-426439.56448285439</v>
      </c>
      <c r="H14" s="25">
        <f t="shared" si="17"/>
        <v>-261577.39448623545</v>
      </c>
      <c r="I14" s="3"/>
      <c r="J14" s="25">
        <f>ОДДС!C13</f>
        <v>-21623.491413333337</v>
      </c>
      <c r="K14" s="25">
        <f>ОДДС!D13</f>
        <v>-4078.0450799999999</v>
      </c>
      <c r="L14" s="25">
        <f>ОДДС!E13</f>
        <v>-8507.1552466666672</v>
      </c>
      <c r="M14" s="25">
        <f>ОДДС!F13</f>
        <v>-11885.892979027783</v>
      </c>
      <c r="N14" s="25">
        <f>ОДДС!G13</f>
        <v>-18553.166044161113</v>
      </c>
      <c r="O14" s="25">
        <f>ОДДС!H13</f>
        <v>-24627.591044161112</v>
      </c>
      <c r="P14" s="25">
        <f>ОДДС!I13</f>
        <v>-30702.016044161122</v>
      </c>
      <c r="Q14" s="25">
        <f>ОДДС!J13</f>
        <v>-30702.016044161122</v>
      </c>
      <c r="R14" s="25">
        <f>ОДДС!K13</f>
        <v>-30702.016044161122</v>
      </c>
      <c r="S14" s="25">
        <f>ОДДС!L13</f>
        <v>-30702.016044161122</v>
      </c>
      <c r="T14" s="25">
        <f>ОДДС!M13</f>
        <v>-30702.016044161122</v>
      </c>
      <c r="U14" s="25">
        <f>ОДДС!N13</f>
        <v>-30702.016044161122</v>
      </c>
      <c r="V14" s="25">
        <f>ОДДС!O13</f>
        <v>-30702.016044161122</v>
      </c>
      <c r="W14" s="25">
        <f>ОДДС!P13</f>
        <v>-30702.016044161122</v>
      </c>
      <c r="X14" s="25">
        <f>ОДДС!Q13</f>
        <v>-30702.016044161122</v>
      </c>
      <c r="Y14" s="25">
        <f>ОДДС!R13</f>
        <v>-30702.016044161122</v>
      </c>
      <c r="Z14" s="25">
        <f>ОДДС!S13</f>
        <v>-32235.63380441512</v>
      </c>
      <c r="AA14" s="25">
        <f>ОДДС!T13</f>
        <v>-32235.63380441512</v>
      </c>
      <c r="AB14" s="25">
        <f>ОДДС!U13</f>
        <v>-32235.63380441512</v>
      </c>
      <c r="AC14" s="25">
        <f>ОДДС!V13</f>
        <v>-32235.63380441512</v>
      </c>
      <c r="AD14" s="25">
        <f>ОДДС!W13</f>
        <v>-32235.63380441512</v>
      </c>
      <c r="AE14" s="25">
        <f>ОДДС!X13</f>
        <v>-32235.63380441512</v>
      </c>
      <c r="AF14" s="25">
        <f>ОДДС!Y13</f>
        <v>-32235.63380441512</v>
      </c>
      <c r="AG14" s="25">
        <f>ОДДС!Z13</f>
        <v>-32235.63380441512</v>
      </c>
      <c r="AH14" s="25">
        <f>ОДДС!AA13</f>
        <v>-32235.63380441512</v>
      </c>
      <c r="AI14" s="25">
        <f>ОДДС!AB13</f>
        <v>-32235.63380441512</v>
      </c>
      <c r="AJ14" s="25">
        <f>ОДДС!AC13</f>
        <v>-32235.63380441512</v>
      </c>
      <c r="AK14" s="25">
        <f>ОДДС!AD13</f>
        <v>-32235.63380441512</v>
      </c>
      <c r="AL14" s="25">
        <f>ОДДС!AE13</f>
        <v>-33845.894900801737</v>
      </c>
      <c r="AM14" s="25">
        <f>ОДДС!AF13</f>
        <v>-33845.894900801737</v>
      </c>
      <c r="AN14" s="25">
        <f>ОДДС!AG13</f>
        <v>-33845.894900801737</v>
      </c>
      <c r="AO14" s="25">
        <f>ОДДС!AH13</f>
        <v>-33845.894900801737</v>
      </c>
      <c r="AP14" s="25">
        <f>ОДДС!AI13</f>
        <v>-33845.894900801737</v>
      </c>
      <c r="AQ14" s="25">
        <f>ОДДС!AJ13</f>
        <v>-33845.894900801737</v>
      </c>
      <c r="AR14" s="25">
        <f>ОДДС!AK13</f>
        <v>-33845.894900801737</v>
      </c>
      <c r="AS14" s="25">
        <f>ОДДС!AL13</f>
        <v>-33845.894900801737</v>
      </c>
      <c r="AT14" s="25">
        <f>ОДДС!AM13</f>
        <v>-33845.894900801737</v>
      </c>
      <c r="AU14" s="25">
        <f>ОДДС!AN13</f>
        <v>-33845.894900801737</v>
      </c>
      <c r="AV14" s="25">
        <f>ОДДС!AO13</f>
        <v>-33845.894900801737</v>
      </c>
      <c r="AW14" s="25">
        <f>ОДДС!AP13</f>
        <v>-33845.894900801737</v>
      </c>
      <c r="AX14" s="25">
        <f>ОДДС!AQ13</f>
        <v>-35536.630373571206</v>
      </c>
      <c r="AY14" s="25">
        <f>ОДДС!AR13</f>
        <v>-35536.630373571206</v>
      </c>
      <c r="AZ14" s="25">
        <f>ОДДС!AS13</f>
        <v>-35536.630373571206</v>
      </c>
      <c r="BA14" s="25">
        <f>ОДДС!AT13</f>
        <v>-35536.630373571206</v>
      </c>
      <c r="BB14" s="25">
        <f>ОДДС!AU13</f>
        <v>-35536.630373571206</v>
      </c>
      <c r="BC14" s="25">
        <f>ОДДС!AV13</f>
        <v>-35536.630373571206</v>
      </c>
      <c r="BD14" s="25">
        <f>ОДДС!AW13</f>
        <v>-35536.630373571206</v>
      </c>
      <c r="BE14" s="25">
        <f>ОДДС!AX13</f>
        <v>-35536.630373571206</v>
      </c>
      <c r="BF14" s="25">
        <f>ОДДС!AY13</f>
        <v>-35536.630373571206</v>
      </c>
      <c r="BG14" s="25">
        <f>ОДДС!AZ13</f>
        <v>-35536.630373571206</v>
      </c>
      <c r="BH14" s="25">
        <f>ОДДС!BA13</f>
        <v>-35536.630373571206</v>
      </c>
      <c r="BI14" s="25">
        <f>ОДДС!BB13</f>
        <v>-35536.630373571206</v>
      </c>
      <c r="BJ14" s="25">
        <f>ОДДС!BC13</f>
        <v>-37311.862781189593</v>
      </c>
      <c r="BK14" s="25">
        <f>ОДДС!BD13</f>
        <v>-37311.862781189593</v>
      </c>
      <c r="BL14" s="25">
        <f>ОДДС!BE13</f>
        <v>-37311.862781189593</v>
      </c>
      <c r="BM14" s="25">
        <f>ОДДС!BF13</f>
        <v>-37311.862781189593</v>
      </c>
      <c r="BN14" s="25">
        <f>ОДДС!BG13</f>
        <v>-37311.862781189593</v>
      </c>
      <c r="BO14" s="25">
        <f>ОДДС!BH13</f>
        <v>-37311.862781189593</v>
      </c>
      <c r="BP14" s="25">
        <f>ОДДС!BI13</f>
        <v>-37311.862781189593</v>
      </c>
      <c r="BQ14" s="25">
        <f>ОДДС!BJ13</f>
        <v>-394.35501790831478</v>
      </c>
    </row>
    <row r="15" spans="1:127">
      <c r="A15" s="68" t="s">
        <v>118</v>
      </c>
      <c r="B15" s="12"/>
      <c r="C15" s="25">
        <f t="shared" si="17"/>
        <v>0</v>
      </c>
      <c r="D15" s="25">
        <f t="shared" si="17"/>
        <v>-161817.36441770554</v>
      </c>
      <c r="E15" s="25">
        <f t="shared" si="17"/>
        <v>-253019.2943470187</v>
      </c>
      <c r="F15" s="25">
        <f t="shared" si="17"/>
        <v>-265688.50619037927</v>
      </c>
      <c r="G15" s="25">
        <f t="shared" si="17"/>
        <v>-278991.64276714582</v>
      </c>
      <c r="H15" s="25">
        <f t="shared" si="17"/>
        <v>-232224.45058876486</v>
      </c>
      <c r="I15" s="3"/>
      <c r="J15" s="25">
        <f>ОДДС!C14</f>
        <v>0</v>
      </c>
      <c r="K15" s="25">
        <f>ОДДС!D14</f>
        <v>0</v>
      </c>
      <c r="L15" s="25">
        <f>ОДДС!E14</f>
        <v>0</v>
      </c>
      <c r="M15" s="25">
        <f>ОДДС!F14</f>
        <v>0</v>
      </c>
      <c r="N15" s="25">
        <f>ОДДС!G14</f>
        <v>0</v>
      </c>
      <c r="O15" s="25">
        <f>ОДДС!H14</f>
        <v>0</v>
      </c>
      <c r="P15" s="25">
        <f>ОДДС!I14</f>
        <v>0</v>
      </c>
      <c r="Q15" s="25">
        <f>ОДДС!J14</f>
        <v>-1181.4927709944386</v>
      </c>
      <c r="R15" s="25">
        <f>ОДДС!K14</f>
        <v>-20079.483955838885</v>
      </c>
      <c r="S15" s="25">
        <f>ОДДС!L14</f>
        <v>-20079.483955838885</v>
      </c>
      <c r="T15" s="25">
        <f>ОДДС!M14</f>
        <v>-20079.483955838885</v>
      </c>
      <c r="U15" s="25">
        <f>ОДДС!N14</f>
        <v>-20079.483955838885</v>
      </c>
      <c r="V15" s="25">
        <f>ОДДС!O14</f>
        <v>-20079.483955838885</v>
      </c>
      <c r="W15" s="25">
        <f>ОДДС!P14</f>
        <v>-20079.483955838885</v>
      </c>
      <c r="X15" s="25">
        <f>ОДДС!Q14</f>
        <v>-20079.483955838885</v>
      </c>
      <c r="Y15" s="25">
        <f>ОДДС!R14</f>
        <v>-20079.483955838885</v>
      </c>
      <c r="Z15" s="25">
        <f>ОДДС!S14</f>
        <v>-21084.941195584892</v>
      </c>
      <c r="AA15" s="25">
        <f>ОДДС!T14</f>
        <v>-21084.941195584892</v>
      </c>
      <c r="AB15" s="25">
        <f>ОДДС!U14</f>
        <v>-21084.941195584892</v>
      </c>
      <c r="AC15" s="25">
        <f>ОДДС!V14</f>
        <v>-21084.941195584892</v>
      </c>
      <c r="AD15" s="25">
        <f>ОДДС!W14</f>
        <v>-21084.941195584892</v>
      </c>
      <c r="AE15" s="25">
        <f>ОДДС!X14</f>
        <v>-21084.941195584892</v>
      </c>
      <c r="AF15" s="25">
        <f>ОДДС!Y14</f>
        <v>-21084.941195584892</v>
      </c>
      <c r="AG15" s="25">
        <f>ОДДС!Z14</f>
        <v>-21084.941195584892</v>
      </c>
      <c r="AH15" s="25">
        <f>ОДДС!AA14</f>
        <v>-21084.941195584892</v>
      </c>
      <c r="AI15" s="25">
        <f>ОДДС!AB14</f>
        <v>-21084.941195584892</v>
      </c>
      <c r="AJ15" s="25">
        <f>ОДДС!AC14</f>
        <v>-21084.941195584892</v>
      </c>
      <c r="AK15" s="25">
        <f>ОДДС!AD14</f>
        <v>-21084.941195584892</v>
      </c>
      <c r="AL15" s="25">
        <f>ОДДС!AE14</f>
        <v>-22140.708849198272</v>
      </c>
      <c r="AM15" s="25">
        <f>ОДДС!AF14</f>
        <v>-22140.708849198272</v>
      </c>
      <c r="AN15" s="25">
        <f>ОДДС!AG14</f>
        <v>-22140.708849198272</v>
      </c>
      <c r="AO15" s="25">
        <f>ОДДС!AH14</f>
        <v>-22140.708849198272</v>
      </c>
      <c r="AP15" s="25">
        <f>ОДДС!AI14</f>
        <v>-22140.708849198272</v>
      </c>
      <c r="AQ15" s="25">
        <f>ОДДС!AJ14</f>
        <v>-22140.708849198272</v>
      </c>
      <c r="AR15" s="25">
        <f>ОДДС!AK14</f>
        <v>-22140.708849198272</v>
      </c>
      <c r="AS15" s="25">
        <f>ОДДС!AL14</f>
        <v>-22140.708849198272</v>
      </c>
      <c r="AT15" s="25">
        <f>ОДДС!AM14</f>
        <v>-22140.708849198272</v>
      </c>
      <c r="AU15" s="25">
        <f>ОДДС!AN14</f>
        <v>-22140.708849198272</v>
      </c>
      <c r="AV15" s="25">
        <f>ОДДС!AO14</f>
        <v>-22140.708849198272</v>
      </c>
      <c r="AW15" s="25">
        <f>ОДДС!AP14</f>
        <v>-22140.708849198272</v>
      </c>
      <c r="AX15" s="25">
        <f>ОДДС!AQ14</f>
        <v>-23249.303563928821</v>
      </c>
      <c r="AY15" s="25">
        <f>ОДДС!AR14</f>
        <v>-23249.303563928821</v>
      </c>
      <c r="AZ15" s="25">
        <f>ОДДС!AS14</f>
        <v>-23249.303563928821</v>
      </c>
      <c r="BA15" s="25">
        <f>ОДДС!AT14</f>
        <v>-23249.303563928821</v>
      </c>
      <c r="BB15" s="25">
        <f>ОДДС!AU14</f>
        <v>-23249.303563928821</v>
      </c>
      <c r="BC15" s="25">
        <f>ОДДС!AV14</f>
        <v>-23249.303563928821</v>
      </c>
      <c r="BD15" s="25">
        <f>ОДДС!AW14</f>
        <v>-23249.303563928821</v>
      </c>
      <c r="BE15" s="25">
        <f>ОДДС!AX14</f>
        <v>-23249.303563928821</v>
      </c>
      <c r="BF15" s="25">
        <f>ОДДС!AY14</f>
        <v>-23249.303563928821</v>
      </c>
      <c r="BG15" s="25">
        <f>ОДДС!AZ14</f>
        <v>-23249.303563928821</v>
      </c>
      <c r="BH15" s="25">
        <f>ОДДС!BA14</f>
        <v>-23249.303563928821</v>
      </c>
      <c r="BI15" s="25">
        <f>ОДДС!BB14</f>
        <v>-23249.303563928821</v>
      </c>
      <c r="BJ15" s="25">
        <f>ОДДС!BC14</f>
        <v>-24413.367853185446</v>
      </c>
      <c r="BK15" s="25">
        <f>ОДДС!BD14</f>
        <v>-24413.367853185446</v>
      </c>
      <c r="BL15" s="25">
        <f>ОДДС!BE14</f>
        <v>-24413.367853185446</v>
      </c>
      <c r="BM15" s="25">
        <f>ОДДС!BF14</f>
        <v>-24413.367853185446</v>
      </c>
      <c r="BN15" s="25">
        <f>ОДДС!BG14</f>
        <v>-24413.367853185446</v>
      </c>
      <c r="BO15" s="25">
        <f>ОДДС!BH14</f>
        <v>-24413.367853185446</v>
      </c>
      <c r="BP15" s="25">
        <f>ОДДС!BI14</f>
        <v>-24413.367853185446</v>
      </c>
      <c r="BQ15" s="25">
        <f>ОДДС!BJ14</f>
        <v>-61330.875616466721</v>
      </c>
    </row>
    <row r="16" spans="1:127">
      <c r="A16" s="70" t="s">
        <v>14</v>
      </c>
      <c r="B16" s="12"/>
      <c r="C16" s="29">
        <f t="shared" si="17"/>
        <v>-215844.15465220428</v>
      </c>
      <c r="D16" s="29">
        <f t="shared" si="17"/>
        <v>703264.01683596591</v>
      </c>
      <c r="E16" s="29">
        <f t="shared" si="17"/>
        <v>862123.82422803494</v>
      </c>
      <c r="F16" s="29">
        <f t="shared" si="17"/>
        <v>928085.80834022537</v>
      </c>
      <c r="G16" s="29">
        <f t="shared" si="17"/>
        <v>951055.22602461185</v>
      </c>
      <c r="H16" s="29">
        <f t="shared" si="17"/>
        <v>764034.48367318907</v>
      </c>
      <c r="I16" s="3"/>
      <c r="J16" s="29">
        <f t="shared" ref="J16:AO16" si="18">SUM(J9:J15)</f>
        <v>-130514.53558000001</v>
      </c>
      <c r="K16" s="29">
        <f t="shared" si="18"/>
        <v>-26142.340573548387</v>
      </c>
      <c r="L16" s="29">
        <f t="shared" si="18"/>
        <v>-33095.999164229383</v>
      </c>
      <c r="M16" s="29">
        <f t="shared" si="18"/>
        <v>-26091.279334426497</v>
      </c>
      <c r="N16" s="29">
        <f t="shared" si="18"/>
        <v>-7059.4963196978551</v>
      </c>
      <c r="O16" s="29">
        <f t="shared" si="18"/>
        <v>16927.682871522396</v>
      </c>
      <c r="P16" s="29">
        <f t="shared" si="18"/>
        <v>40861.844804995912</v>
      </c>
      <c r="Q16" s="29">
        <f t="shared" si="18"/>
        <v>81090.712842156063</v>
      </c>
      <c r="R16" s="29">
        <f t="shared" si="18"/>
        <v>92875.441958813288</v>
      </c>
      <c r="S16" s="29">
        <f t="shared" si="18"/>
        <v>68627.976424139022</v>
      </c>
      <c r="T16" s="29">
        <f t="shared" si="18"/>
        <v>68146.6271189994</v>
      </c>
      <c r="U16" s="29">
        <f t="shared" si="18"/>
        <v>68375.358060496248</v>
      </c>
      <c r="V16" s="29">
        <f t="shared" si="18"/>
        <v>68604.713564342906</v>
      </c>
      <c r="W16" s="29">
        <f t="shared" si="18"/>
        <v>68121.279958122323</v>
      </c>
      <c r="X16" s="29">
        <f t="shared" si="18"/>
        <v>68588.386034531199</v>
      </c>
      <c r="Y16" s="29">
        <f t="shared" si="18"/>
        <v>68103.489517544949</v>
      </c>
      <c r="Z16" s="29">
        <f t="shared" si="18"/>
        <v>72213.142484576369</v>
      </c>
      <c r="AA16" s="29">
        <f t="shared" si="18"/>
        <v>72664.446053671141</v>
      </c>
      <c r="AB16" s="29">
        <f t="shared" si="18"/>
        <v>71045.071308600309</v>
      </c>
      <c r="AC16" s="29">
        <f t="shared" si="18"/>
        <v>72091.750930223876</v>
      </c>
      <c r="AD16" s="29">
        <f t="shared" si="18"/>
        <v>71579.943307640613</v>
      </c>
      <c r="AE16" s="29">
        <f t="shared" si="18"/>
        <v>72072.888207362528</v>
      </c>
      <c r="AF16" s="29">
        <f t="shared" si="18"/>
        <v>71559.39052629142</v>
      </c>
      <c r="AG16" s="29">
        <f t="shared" si="18"/>
        <v>71800.842679104448</v>
      </c>
      <c r="AH16" s="29">
        <f t="shared" si="18"/>
        <v>72043.094728630502</v>
      </c>
      <c r="AI16" s="29">
        <f t="shared" si="18"/>
        <v>71526.927617383102</v>
      </c>
      <c r="AJ16" s="29">
        <f t="shared" si="18"/>
        <v>72022.183545893087</v>
      </c>
      <c r="AK16" s="29">
        <f t="shared" si="18"/>
        <v>71504.142838657601</v>
      </c>
      <c r="AL16" s="29">
        <f t="shared" si="18"/>
        <v>75823.893750273855</v>
      </c>
      <c r="AM16" s="29">
        <f t="shared" si="18"/>
        <v>76003.516842324054</v>
      </c>
      <c r="AN16" s="29">
        <f t="shared" si="18"/>
        <v>74888.56916200259</v>
      </c>
      <c r="AO16" s="29">
        <f t="shared" si="18"/>
        <v>103688.67279068142</v>
      </c>
      <c r="AP16" s="29">
        <f t="shared" ref="AP16:BP16" si="19">SUM(AP9:AP15)</f>
        <v>74245.264081591391</v>
      </c>
      <c r="AQ16" s="29">
        <f t="shared" si="19"/>
        <v>76574.222569096193</v>
      </c>
      <c r="AR16" s="29">
        <f t="shared" si="19"/>
        <v>73437.006001987203</v>
      </c>
      <c r="AS16" s="29">
        <f t="shared" si="19"/>
        <v>74516.862044479407</v>
      </c>
      <c r="AT16" s="29">
        <f t="shared" si="19"/>
        <v>75632.929636711342</v>
      </c>
      <c r="AU16" s="29">
        <f t="shared" si="19"/>
        <v>73438.436181610479</v>
      </c>
      <c r="AV16" s="29">
        <f t="shared" si="19"/>
        <v>75551.412541137834</v>
      </c>
      <c r="AW16" s="29">
        <f t="shared" si="19"/>
        <v>74285.022738329659</v>
      </c>
      <c r="AX16" s="29">
        <f t="shared" si="19"/>
        <v>80946.420042668207</v>
      </c>
      <c r="AY16" s="29">
        <f t="shared" si="19"/>
        <v>82722.314427044708</v>
      </c>
      <c r="AZ16" s="29">
        <f t="shared" si="19"/>
        <v>75663.235933238204</v>
      </c>
      <c r="BA16" s="29">
        <f t="shared" si="19"/>
        <v>80266.396779449162</v>
      </c>
      <c r="BB16" s="29">
        <f t="shared" si="19"/>
        <v>78057.11331859426</v>
      </c>
      <c r="BC16" s="29">
        <f t="shared" si="19"/>
        <v>80235.456758199813</v>
      </c>
      <c r="BD16" s="29">
        <f t="shared" si="19"/>
        <v>78023.401139480295</v>
      </c>
      <c r="BE16" s="29">
        <f t="shared" si="19"/>
        <v>78899.080135408294</v>
      </c>
      <c r="BF16" s="29">
        <f t="shared" si="19"/>
        <v>80179.745374130114</v>
      </c>
      <c r="BG16" s="29">
        <f t="shared" si="19"/>
        <v>77976.99503125262</v>
      </c>
      <c r="BH16" s="29">
        <f t="shared" si="19"/>
        <v>80145.445318777405</v>
      </c>
      <c r="BI16" s="29">
        <f t="shared" si="19"/>
        <v>77939.621766368684</v>
      </c>
      <c r="BJ16" s="29">
        <f t="shared" si="19"/>
        <v>84939.509806706134</v>
      </c>
      <c r="BK16" s="29">
        <f t="shared" si="19"/>
        <v>86820.614975328965</v>
      </c>
      <c r="BL16" s="29">
        <f t="shared" si="19"/>
        <v>79368.802583779179</v>
      </c>
      <c r="BM16" s="29">
        <f t="shared" si="19"/>
        <v>84222.556388826953</v>
      </c>
      <c r="BN16" s="29">
        <f t="shared" si="19"/>
        <v>81887.404248399602</v>
      </c>
      <c r="BO16" s="29">
        <f t="shared" si="19"/>
        <v>84182.930527125456</v>
      </c>
      <c r="BP16" s="29">
        <f t="shared" si="19"/>
        <v>81844.227996629867</v>
      </c>
      <c r="BQ16" s="29">
        <f t="shared" ref="BQ16" si="20">SUM(BQ9:BQ15)</f>
        <v>180768.43714639291</v>
      </c>
    </row>
    <row r="17" spans="1:129">
      <c r="A17" s="70" t="s">
        <v>129</v>
      </c>
      <c r="B17" s="12"/>
      <c r="C17" s="113">
        <f>B17+C16</f>
        <v>-215844.15465220428</v>
      </c>
      <c r="D17" s="113">
        <f t="shared" ref="D17:F17" si="21">C17+D16</f>
        <v>487419.86218376167</v>
      </c>
      <c r="E17" s="113">
        <f t="shared" si="21"/>
        <v>1349543.6864117966</v>
      </c>
      <c r="F17" s="113">
        <f t="shared" si="21"/>
        <v>2277629.494752022</v>
      </c>
      <c r="G17" s="113">
        <f t="shared" ref="G17" si="22">F17+G16</f>
        <v>3228684.7207766338</v>
      </c>
      <c r="H17" s="113">
        <f t="shared" ref="H17" si="23">G17+H16</f>
        <v>3992719.2044498231</v>
      </c>
      <c r="J17" s="29">
        <f>SUM($J16:J16)</f>
        <v>-130514.53558000001</v>
      </c>
      <c r="K17" s="29">
        <f>SUM($J16:K16)</f>
        <v>-156656.87615354839</v>
      </c>
      <c r="L17" s="29">
        <f>SUM($J16:L16)</f>
        <v>-189752.87531777777</v>
      </c>
      <c r="M17" s="29">
        <f>SUM($J16:M16)</f>
        <v>-215844.15465220428</v>
      </c>
      <c r="N17" s="29">
        <f>SUM($J16:N16)</f>
        <v>-222903.65097190213</v>
      </c>
      <c r="O17" s="29">
        <f>SUM($J16:O16)</f>
        <v>-205975.96810037975</v>
      </c>
      <c r="P17" s="29">
        <f>SUM($J16:P16)</f>
        <v>-165114.12329538382</v>
      </c>
      <c r="Q17" s="29">
        <f>SUM($J16:Q16)</f>
        <v>-84023.410453227756</v>
      </c>
      <c r="R17" s="29">
        <f>SUM($J16:R16)</f>
        <v>8852.0315055855317</v>
      </c>
      <c r="S17" s="29">
        <f>SUM($J16:S16)</f>
        <v>77480.007929724554</v>
      </c>
      <c r="T17" s="29">
        <f>SUM($J16:T16)</f>
        <v>145626.63504872395</v>
      </c>
      <c r="U17" s="29">
        <f>SUM($J16:U16)</f>
        <v>214001.9931092202</v>
      </c>
      <c r="V17" s="29">
        <f>SUM($J16:V16)</f>
        <v>282606.70667356311</v>
      </c>
      <c r="W17" s="29">
        <f>SUM($J16:W16)</f>
        <v>350727.9866316854</v>
      </c>
      <c r="X17" s="29">
        <f>SUM($J16:X16)</f>
        <v>419316.37266621657</v>
      </c>
      <c r="Y17" s="29">
        <f>SUM($J16:Y16)</f>
        <v>487419.86218376155</v>
      </c>
      <c r="Z17" s="29">
        <f>SUM($J16:Z16)</f>
        <v>559633.00466833788</v>
      </c>
      <c r="AA17" s="29">
        <f>SUM($J16:AA16)</f>
        <v>632297.45072200906</v>
      </c>
      <c r="AB17" s="29">
        <f>SUM($J16:AB16)</f>
        <v>703342.52203060943</v>
      </c>
      <c r="AC17" s="29">
        <f>SUM($J16:AC16)</f>
        <v>775434.27296083327</v>
      </c>
      <c r="AD17" s="29">
        <f>SUM($J16:AD16)</f>
        <v>847014.21626847389</v>
      </c>
      <c r="AE17" s="29">
        <f>SUM($J16:AE16)</f>
        <v>919087.10447583639</v>
      </c>
      <c r="AF17" s="29">
        <f>SUM($J16:AF16)</f>
        <v>990646.49500212783</v>
      </c>
      <c r="AG17" s="29">
        <f>SUM($J16:AG16)</f>
        <v>1062447.3376812323</v>
      </c>
      <c r="AH17" s="29">
        <f>SUM($J16:AH16)</f>
        <v>1134490.4324098628</v>
      </c>
      <c r="AI17" s="29">
        <f>SUM($J16:AI16)</f>
        <v>1206017.3600272459</v>
      </c>
      <c r="AJ17" s="29">
        <f>SUM($J16:AJ16)</f>
        <v>1278039.543573139</v>
      </c>
      <c r="AK17" s="29">
        <f>SUM($J16:AK16)</f>
        <v>1349543.6864117966</v>
      </c>
      <c r="AL17" s="29">
        <f>SUM($J16:AL16)</f>
        <v>1425367.5801620705</v>
      </c>
      <c r="AM17" s="29">
        <f>SUM($J16:AM16)</f>
        <v>1501371.0970043945</v>
      </c>
      <c r="AN17" s="29">
        <f>SUM($J16:AN16)</f>
        <v>1576259.666166397</v>
      </c>
      <c r="AO17" s="29">
        <f>SUM($J16:AO16)</f>
        <v>1679948.3389570785</v>
      </c>
      <c r="AP17" s="29">
        <f>SUM($J16:AP16)</f>
        <v>1754193.60303867</v>
      </c>
      <c r="AQ17" s="29">
        <f>SUM($J16:AQ16)</f>
        <v>1830767.8256077662</v>
      </c>
      <c r="AR17" s="29">
        <f>SUM($J16:AR16)</f>
        <v>1904204.8316097534</v>
      </c>
      <c r="AS17" s="29">
        <f>SUM($J16:AS16)</f>
        <v>1978721.6936542329</v>
      </c>
      <c r="AT17" s="29">
        <f>SUM($J16:AT16)</f>
        <v>2054354.6232909441</v>
      </c>
      <c r="AU17" s="29">
        <f>SUM($J16:AU16)</f>
        <v>2127793.0594725548</v>
      </c>
      <c r="AV17" s="29">
        <f>SUM($J16:AV16)</f>
        <v>2203344.4720136928</v>
      </c>
      <c r="AW17" s="29">
        <f>SUM($J16:AW16)</f>
        <v>2277629.4947520224</v>
      </c>
      <c r="AX17" s="29">
        <f>SUM($J16:AX16)</f>
        <v>2358575.9147946904</v>
      </c>
      <c r="AY17" s="29">
        <f>SUM($J16:AY16)</f>
        <v>2441298.2292217351</v>
      </c>
      <c r="AZ17" s="29">
        <f>SUM($J16:AZ16)</f>
        <v>2516961.4651549733</v>
      </c>
      <c r="BA17" s="29">
        <f>SUM($J16:BA16)</f>
        <v>2597227.8619344225</v>
      </c>
      <c r="BB17" s="29">
        <f>SUM($J16:BB16)</f>
        <v>2675284.9752530167</v>
      </c>
      <c r="BC17" s="29">
        <f>SUM($J16:BC16)</f>
        <v>2755520.4320112164</v>
      </c>
      <c r="BD17" s="29">
        <f>SUM($J16:BD16)</f>
        <v>2833543.8331506969</v>
      </c>
      <c r="BE17" s="29">
        <f>SUM($J16:BE16)</f>
        <v>2912442.9132861053</v>
      </c>
      <c r="BF17" s="29">
        <f>SUM($J16:BF16)</f>
        <v>2992622.6586602353</v>
      </c>
      <c r="BG17" s="29">
        <f>SUM($J16:BG16)</f>
        <v>3070599.6536914879</v>
      </c>
      <c r="BH17" s="29">
        <f>SUM($J16:BH16)</f>
        <v>3150745.0990102654</v>
      </c>
      <c r="BI17" s="29">
        <f>SUM($J16:BI16)</f>
        <v>3228684.7207766343</v>
      </c>
      <c r="BJ17" s="29">
        <f>SUM($J16:BJ16)</f>
        <v>3313624.2305833404</v>
      </c>
      <c r="BK17" s="29">
        <f>SUM($J16:BK16)</f>
        <v>3400444.8455586694</v>
      </c>
      <c r="BL17" s="29">
        <f>SUM($J16:BL16)</f>
        <v>3479813.6481424486</v>
      </c>
      <c r="BM17" s="29">
        <f>SUM($J16:BM16)</f>
        <v>3564036.2045312757</v>
      </c>
      <c r="BN17" s="29">
        <f>SUM($J16:BN16)</f>
        <v>3645923.6087796753</v>
      </c>
      <c r="BO17" s="29">
        <f>SUM($J16:BO16)</f>
        <v>3730106.5393068008</v>
      </c>
      <c r="BP17" s="29">
        <f>SUM($J16:BP16)</f>
        <v>3811950.7673034305</v>
      </c>
      <c r="BQ17" s="29">
        <f>SUM($J16:BQ16)</f>
        <v>3992719.2044498236</v>
      </c>
    </row>
    <row r="18" spans="1:129" s="9" customFormat="1">
      <c r="B18" s="13"/>
      <c r="C18" s="82"/>
      <c r="D18" s="82"/>
      <c r="E18" s="82"/>
      <c r="F18" s="82"/>
      <c r="G18" s="82"/>
      <c r="H18" s="82"/>
      <c r="J18" s="119">
        <f>IF(J17&lt;0,1000,J$5)</f>
        <v>1000</v>
      </c>
      <c r="K18" s="119">
        <f t="shared" ref="K18:BQ18" si="24">IF(K17&lt;0,1000,K$5)</f>
        <v>1000</v>
      </c>
      <c r="L18" s="119">
        <f t="shared" si="24"/>
        <v>1000</v>
      </c>
      <c r="M18" s="119">
        <f t="shared" si="24"/>
        <v>1000</v>
      </c>
      <c r="N18" s="119">
        <f t="shared" si="24"/>
        <v>1000</v>
      </c>
      <c r="O18" s="119">
        <f t="shared" si="24"/>
        <v>1000</v>
      </c>
      <c r="P18" s="119">
        <f t="shared" si="24"/>
        <v>1000</v>
      </c>
      <c r="Q18" s="119">
        <f t="shared" si="24"/>
        <v>1000</v>
      </c>
      <c r="R18" s="119">
        <f t="shared" si="24"/>
        <v>9</v>
      </c>
      <c r="S18" s="119">
        <f t="shared" si="24"/>
        <v>10</v>
      </c>
      <c r="T18" s="119">
        <f t="shared" si="24"/>
        <v>11</v>
      </c>
      <c r="U18" s="119">
        <f t="shared" si="24"/>
        <v>12</v>
      </c>
      <c r="V18" s="119">
        <f t="shared" si="24"/>
        <v>13</v>
      </c>
      <c r="W18" s="119">
        <f t="shared" si="24"/>
        <v>14</v>
      </c>
      <c r="X18" s="119">
        <f t="shared" si="24"/>
        <v>15</v>
      </c>
      <c r="Y18" s="119">
        <f t="shared" si="24"/>
        <v>16</v>
      </c>
      <c r="Z18" s="119">
        <f t="shared" si="24"/>
        <v>17</v>
      </c>
      <c r="AA18" s="119">
        <f t="shared" si="24"/>
        <v>18</v>
      </c>
      <c r="AB18" s="119">
        <f t="shared" si="24"/>
        <v>19</v>
      </c>
      <c r="AC18" s="119">
        <f t="shared" si="24"/>
        <v>20</v>
      </c>
      <c r="AD18" s="119">
        <f t="shared" si="24"/>
        <v>21</v>
      </c>
      <c r="AE18" s="119">
        <f t="shared" si="24"/>
        <v>22</v>
      </c>
      <c r="AF18" s="119">
        <f t="shared" si="24"/>
        <v>23</v>
      </c>
      <c r="AG18" s="119">
        <f t="shared" si="24"/>
        <v>24</v>
      </c>
      <c r="AH18" s="119">
        <f t="shared" si="24"/>
        <v>25</v>
      </c>
      <c r="AI18" s="119">
        <f t="shared" si="24"/>
        <v>26</v>
      </c>
      <c r="AJ18" s="119">
        <f t="shared" si="24"/>
        <v>27</v>
      </c>
      <c r="AK18" s="119">
        <f t="shared" si="24"/>
        <v>28</v>
      </c>
      <c r="AL18" s="119">
        <f t="shared" si="24"/>
        <v>29</v>
      </c>
      <c r="AM18" s="119">
        <f t="shared" si="24"/>
        <v>30</v>
      </c>
      <c r="AN18" s="119">
        <f t="shared" si="24"/>
        <v>31</v>
      </c>
      <c r="AO18" s="119">
        <f t="shared" si="24"/>
        <v>32</v>
      </c>
      <c r="AP18" s="119">
        <f t="shared" si="24"/>
        <v>33</v>
      </c>
      <c r="AQ18" s="119">
        <f t="shared" si="24"/>
        <v>34</v>
      </c>
      <c r="AR18" s="119">
        <f t="shared" si="24"/>
        <v>35</v>
      </c>
      <c r="AS18" s="119">
        <f t="shared" si="24"/>
        <v>36</v>
      </c>
      <c r="AT18" s="119">
        <f t="shared" si="24"/>
        <v>37</v>
      </c>
      <c r="AU18" s="119">
        <f t="shared" si="24"/>
        <v>38</v>
      </c>
      <c r="AV18" s="119">
        <f t="shared" si="24"/>
        <v>39</v>
      </c>
      <c r="AW18" s="119">
        <f t="shared" si="24"/>
        <v>40</v>
      </c>
      <c r="AX18" s="119">
        <f t="shared" si="24"/>
        <v>41</v>
      </c>
      <c r="AY18" s="119">
        <f t="shared" si="24"/>
        <v>42</v>
      </c>
      <c r="AZ18" s="119">
        <f t="shared" si="24"/>
        <v>43</v>
      </c>
      <c r="BA18" s="119">
        <f t="shared" si="24"/>
        <v>44</v>
      </c>
      <c r="BB18" s="119">
        <f t="shared" si="24"/>
        <v>45</v>
      </c>
      <c r="BC18" s="119">
        <f t="shared" si="24"/>
        <v>46</v>
      </c>
      <c r="BD18" s="119">
        <f t="shared" si="24"/>
        <v>47</v>
      </c>
      <c r="BE18" s="119">
        <f t="shared" si="24"/>
        <v>48</v>
      </c>
      <c r="BF18" s="119">
        <f t="shared" si="24"/>
        <v>49</v>
      </c>
      <c r="BG18" s="119">
        <f t="shared" si="24"/>
        <v>50</v>
      </c>
      <c r="BH18" s="119">
        <f t="shared" si="24"/>
        <v>51</v>
      </c>
      <c r="BI18" s="119">
        <f t="shared" si="24"/>
        <v>52</v>
      </c>
      <c r="BJ18" s="119">
        <f t="shared" si="24"/>
        <v>53</v>
      </c>
      <c r="BK18" s="119">
        <f t="shared" si="24"/>
        <v>54</v>
      </c>
      <c r="BL18" s="119">
        <f t="shared" si="24"/>
        <v>55</v>
      </c>
      <c r="BM18" s="119">
        <f t="shared" si="24"/>
        <v>56</v>
      </c>
      <c r="BN18" s="119">
        <f t="shared" si="24"/>
        <v>57</v>
      </c>
      <c r="BO18" s="119">
        <f t="shared" si="24"/>
        <v>58</v>
      </c>
      <c r="BP18" s="119">
        <f t="shared" si="24"/>
        <v>59</v>
      </c>
      <c r="BQ18" s="119">
        <f t="shared" si="24"/>
        <v>60</v>
      </c>
      <c r="BR18" s="83"/>
      <c r="BS18" s="83"/>
      <c r="BT18" s="83"/>
      <c r="BU18" s="83"/>
      <c r="BV18" s="83"/>
      <c r="BW18" s="83"/>
      <c r="BX18" s="83"/>
      <c r="BY18" s="83"/>
      <c r="BZ18" s="83"/>
      <c r="CA18" s="83"/>
      <c r="CB18" s="83"/>
      <c r="CC18" s="83"/>
      <c r="CD18" s="83"/>
      <c r="CE18" s="83"/>
      <c r="CF18" s="83"/>
      <c r="CG18" s="83"/>
      <c r="CH18" s="83"/>
      <c r="CI18" s="83"/>
      <c r="CJ18" s="83"/>
      <c r="CK18" s="83"/>
      <c r="CL18" s="83"/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3"/>
      <c r="DA18" s="83"/>
      <c r="DB18" s="83"/>
      <c r="DC18" s="83"/>
      <c r="DD18" s="83"/>
      <c r="DE18" s="83"/>
      <c r="DF18" s="83"/>
      <c r="DG18" s="83"/>
      <c r="DH18" s="83"/>
      <c r="DI18" s="83"/>
      <c r="DJ18" s="83"/>
      <c r="DK18" s="83"/>
      <c r="DL18" s="83"/>
      <c r="DM18" s="83"/>
      <c r="DN18" s="83"/>
      <c r="DO18" s="83"/>
      <c r="DP18" s="83"/>
      <c r="DQ18" s="83"/>
      <c r="DR18" s="83"/>
      <c r="DS18" s="83"/>
      <c r="DT18" s="83"/>
      <c r="DU18" s="83"/>
      <c r="DV18" s="83"/>
      <c r="DW18" s="83"/>
      <c r="DX18" s="83"/>
      <c r="DY18" s="83"/>
    </row>
    <row r="19" spans="1:129" s="9" customFormat="1">
      <c r="A19" s="34" t="s">
        <v>15</v>
      </c>
      <c r="B19" s="13"/>
      <c r="C19" s="82"/>
      <c r="D19" s="82"/>
      <c r="E19" s="82"/>
      <c r="F19" s="82"/>
      <c r="G19" s="82"/>
      <c r="H19" s="82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3"/>
      <c r="BG19" s="83"/>
      <c r="BH19" s="83"/>
      <c r="BI19" s="83"/>
      <c r="BJ19" s="83"/>
      <c r="BK19" s="83"/>
      <c r="BL19" s="83"/>
      <c r="BM19" s="83"/>
      <c r="BN19" s="83"/>
      <c r="BO19" s="83"/>
      <c r="BP19" s="83"/>
      <c r="BQ19" s="83"/>
    </row>
    <row r="20" spans="1:129">
      <c r="A20" s="68" t="s">
        <v>16</v>
      </c>
      <c r="B20" s="12"/>
      <c r="C20" s="84">
        <f t="shared" ref="C20:F20" si="25">C16</f>
        <v>-215844.15465220428</v>
      </c>
      <c r="D20" s="84">
        <f t="shared" si="25"/>
        <v>703264.01683596591</v>
      </c>
      <c r="E20" s="84">
        <f t="shared" si="25"/>
        <v>862123.82422803494</v>
      </c>
      <c r="F20" s="84">
        <f t="shared" si="25"/>
        <v>928085.80834022537</v>
      </c>
      <c r="G20" s="84">
        <f t="shared" ref="G20:H20" si="26">G16</f>
        <v>951055.22602461185</v>
      </c>
      <c r="H20" s="84">
        <f t="shared" si="26"/>
        <v>764034.48367318907</v>
      </c>
      <c r="I20" s="10"/>
      <c r="J20" s="25">
        <f>J16</f>
        <v>-130514.53558000001</v>
      </c>
      <c r="K20" s="25">
        <f t="shared" ref="K20:BP20" si="27">K16</f>
        <v>-26142.340573548387</v>
      </c>
      <c r="L20" s="25">
        <f t="shared" si="27"/>
        <v>-33095.999164229383</v>
      </c>
      <c r="M20" s="25">
        <f t="shared" si="27"/>
        <v>-26091.279334426497</v>
      </c>
      <c r="N20" s="25">
        <f t="shared" si="27"/>
        <v>-7059.4963196978551</v>
      </c>
      <c r="O20" s="25">
        <f t="shared" si="27"/>
        <v>16927.682871522396</v>
      </c>
      <c r="P20" s="25">
        <f t="shared" si="27"/>
        <v>40861.844804995912</v>
      </c>
      <c r="Q20" s="25">
        <f t="shared" si="27"/>
        <v>81090.712842156063</v>
      </c>
      <c r="R20" s="25">
        <f t="shared" si="27"/>
        <v>92875.441958813288</v>
      </c>
      <c r="S20" s="25">
        <f t="shared" si="27"/>
        <v>68627.976424139022</v>
      </c>
      <c r="T20" s="25">
        <f t="shared" si="27"/>
        <v>68146.6271189994</v>
      </c>
      <c r="U20" s="25">
        <f t="shared" si="27"/>
        <v>68375.358060496248</v>
      </c>
      <c r="V20" s="25">
        <f t="shared" si="27"/>
        <v>68604.713564342906</v>
      </c>
      <c r="W20" s="25">
        <f t="shared" si="27"/>
        <v>68121.279958122323</v>
      </c>
      <c r="X20" s="25">
        <f t="shared" si="27"/>
        <v>68588.386034531199</v>
      </c>
      <c r="Y20" s="25">
        <f t="shared" si="27"/>
        <v>68103.489517544949</v>
      </c>
      <c r="Z20" s="25">
        <f t="shared" si="27"/>
        <v>72213.142484576369</v>
      </c>
      <c r="AA20" s="25">
        <f t="shared" si="27"/>
        <v>72664.446053671141</v>
      </c>
      <c r="AB20" s="25">
        <f t="shared" si="27"/>
        <v>71045.071308600309</v>
      </c>
      <c r="AC20" s="25">
        <f t="shared" si="27"/>
        <v>72091.750930223876</v>
      </c>
      <c r="AD20" s="25">
        <f t="shared" si="27"/>
        <v>71579.943307640613</v>
      </c>
      <c r="AE20" s="25">
        <f t="shared" si="27"/>
        <v>72072.888207362528</v>
      </c>
      <c r="AF20" s="25">
        <f t="shared" si="27"/>
        <v>71559.39052629142</v>
      </c>
      <c r="AG20" s="25">
        <f t="shared" si="27"/>
        <v>71800.842679104448</v>
      </c>
      <c r="AH20" s="25">
        <f t="shared" si="27"/>
        <v>72043.094728630502</v>
      </c>
      <c r="AI20" s="25">
        <f t="shared" si="27"/>
        <v>71526.927617383102</v>
      </c>
      <c r="AJ20" s="25">
        <f t="shared" si="27"/>
        <v>72022.183545893087</v>
      </c>
      <c r="AK20" s="25">
        <f t="shared" si="27"/>
        <v>71504.142838657601</v>
      </c>
      <c r="AL20" s="25">
        <f t="shared" si="27"/>
        <v>75823.893750273855</v>
      </c>
      <c r="AM20" s="25">
        <f t="shared" si="27"/>
        <v>76003.516842324054</v>
      </c>
      <c r="AN20" s="25">
        <f t="shared" si="27"/>
        <v>74888.56916200259</v>
      </c>
      <c r="AO20" s="25">
        <f t="shared" si="27"/>
        <v>103688.67279068142</v>
      </c>
      <c r="AP20" s="25">
        <f t="shared" si="27"/>
        <v>74245.264081591391</v>
      </c>
      <c r="AQ20" s="25">
        <f t="shared" si="27"/>
        <v>76574.222569096193</v>
      </c>
      <c r="AR20" s="25">
        <f t="shared" si="27"/>
        <v>73437.006001987203</v>
      </c>
      <c r="AS20" s="25">
        <f t="shared" si="27"/>
        <v>74516.862044479407</v>
      </c>
      <c r="AT20" s="25">
        <f t="shared" si="27"/>
        <v>75632.929636711342</v>
      </c>
      <c r="AU20" s="25">
        <f t="shared" si="27"/>
        <v>73438.436181610479</v>
      </c>
      <c r="AV20" s="25">
        <f t="shared" si="27"/>
        <v>75551.412541137834</v>
      </c>
      <c r="AW20" s="25">
        <f t="shared" si="27"/>
        <v>74285.022738329659</v>
      </c>
      <c r="AX20" s="25">
        <f t="shared" si="27"/>
        <v>80946.420042668207</v>
      </c>
      <c r="AY20" s="25">
        <f t="shared" si="27"/>
        <v>82722.314427044708</v>
      </c>
      <c r="AZ20" s="25">
        <f t="shared" si="27"/>
        <v>75663.235933238204</v>
      </c>
      <c r="BA20" s="25">
        <f t="shared" si="27"/>
        <v>80266.396779449162</v>
      </c>
      <c r="BB20" s="25">
        <f t="shared" si="27"/>
        <v>78057.11331859426</v>
      </c>
      <c r="BC20" s="25">
        <f t="shared" si="27"/>
        <v>80235.456758199813</v>
      </c>
      <c r="BD20" s="25">
        <f t="shared" si="27"/>
        <v>78023.401139480295</v>
      </c>
      <c r="BE20" s="25">
        <f t="shared" si="27"/>
        <v>78899.080135408294</v>
      </c>
      <c r="BF20" s="25">
        <f t="shared" si="27"/>
        <v>80179.745374130114</v>
      </c>
      <c r="BG20" s="25">
        <f t="shared" si="27"/>
        <v>77976.99503125262</v>
      </c>
      <c r="BH20" s="25">
        <f t="shared" si="27"/>
        <v>80145.445318777405</v>
      </c>
      <c r="BI20" s="25">
        <f t="shared" si="27"/>
        <v>77939.621766368684</v>
      </c>
      <c r="BJ20" s="25">
        <f t="shared" si="27"/>
        <v>84939.509806706134</v>
      </c>
      <c r="BK20" s="25">
        <f t="shared" si="27"/>
        <v>86820.614975328965</v>
      </c>
      <c r="BL20" s="25">
        <f t="shared" si="27"/>
        <v>79368.802583779179</v>
      </c>
      <c r="BM20" s="25">
        <f t="shared" si="27"/>
        <v>84222.556388826953</v>
      </c>
      <c r="BN20" s="25">
        <f t="shared" si="27"/>
        <v>81887.404248399602</v>
      </c>
      <c r="BO20" s="25">
        <f t="shared" si="27"/>
        <v>84182.930527125456</v>
      </c>
      <c r="BP20" s="25">
        <f t="shared" si="27"/>
        <v>81844.227996629867</v>
      </c>
      <c r="BQ20" s="25">
        <f t="shared" ref="BQ20" si="28">BQ16</f>
        <v>180768.43714639291</v>
      </c>
    </row>
    <row r="21" spans="1:129">
      <c r="A21" s="68" t="s">
        <v>17</v>
      </c>
      <c r="B21" s="12"/>
      <c r="C21" s="85">
        <f>Допущения!$C$71</f>
        <v>0.23440044249449188</v>
      </c>
      <c r="D21" s="85">
        <f>Допущения!$C$71</f>
        <v>0.23440044249449188</v>
      </c>
      <c r="E21" s="85">
        <f>Допущения!$C$71</f>
        <v>0.23440044249449188</v>
      </c>
      <c r="F21" s="85">
        <f>Допущения!$C$71</f>
        <v>0.23440044249449188</v>
      </c>
      <c r="G21" s="85">
        <f>Допущения!$C$71</f>
        <v>0.23440044249449188</v>
      </c>
      <c r="H21" s="85">
        <f>Допущения!$C$71</f>
        <v>0.23440044249449188</v>
      </c>
      <c r="I21" s="11"/>
      <c r="J21" s="152">
        <f t="shared" ref="J21:AO21" si="29">(1+SUMIF($C$2:$H$2,J$2,$C$21:$H$21))^(J$4/365)-1</f>
        <v>1.7459045540304974E-2</v>
      </c>
      <c r="K21" s="152">
        <f t="shared" si="29"/>
        <v>1.8046234090995483E-2</v>
      </c>
      <c r="L21" s="152">
        <f t="shared" si="29"/>
        <v>1.7459045540304974E-2</v>
      </c>
      <c r="M21" s="152">
        <f t="shared" si="29"/>
        <v>1.8046234090995483E-2</v>
      </c>
      <c r="N21" s="152">
        <f t="shared" si="29"/>
        <v>1.8046234090995483E-2</v>
      </c>
      <c r="O21" s="152">
        <f t="shared" si="29"/>
        <v>1.6285684279147672E-2</v>
      </c>
      <c r="P21" s="152">
        <f t="shared" si="29"/>
        <v>1.8046234090995483E-2</v>
      </c>
      <c r="Q21" s="152">
        <f t="shared" si="29"/>
        <v>1.7459045540304974E-2</v>
      </c>
      <c r="R21" s="152">
        <f t="shared" si="29"/>
        <v>1.8046234090995483E-2</v>
      </c>
      <c r="S21" s="152">
        <f t="shared" si="29"/>
        <v>1.7459045540304974E-2</v>
      </c>
      <c r="T21" s="152">
        <f t="shared" si="29"/>
        <v>1.8046234090995483E-2</v>
      </c>
      <c r="U21" s="152">
        <f t="shared" si="29"/>
        <v>1.8046234090995483E-2</v>
      </c>
      <c r="V21" s="152">
        <f t="shared" si="29"/>
        <v>1.7459045540304974E-2</v>
      </c>
      <c r="W21" s="152">
        <f t="shared" si="29"/>
        <v>1.8046234090995483E-2</v>
      </c>
      <c r="X21" s="152">
        <f t="shared" si="29"/>
        <v>1.7459045540304974E-2</v>
      </c>
      <c r="Y21" s="152">
        <f t="shared" si="29"/>
        <v>1.8046234090995483E-2</v>
      </c>
      <c r="Z21" s="152">
        <f t="shared" si="29"/>
        <v>1.8046234090995483E-2</v>
      </c>
      <c r="AA21" s="152">
        <f t="shared" si="29"/>
        <v>1.6285684279147672E-2</v>
      </c>
      <c r="AB21" s="152">
        <f t="shared" si="29"/>
        <v>1.8046234090995483E-2</v>
      </c>
      <c r="AC21" s="152">
        <f t="shared" si="29"/>
        <v>1.7459045540304974E-2</v>
      </c>
      <c r="AD21" s="152">
        <f t="shared" si="29"/>
        <v>1.8046234090995483E-2</v>
      </c>
      <c r="AE21" s="152">
        <f t="shared" si="29"/>
        <v>1.7459045540304974E-2</v>
      </c>
      <c r="AF21" s="152">
        <f t="shared" si="29"/>
        <v>1.8046234090995483E-2</v>
      </c>
      <c r="AG21" s="152">
        <f t="shared" si="29"/>
        <v>1.8046234090995483E-2</v>
      </c>
      <c r="AH21" s="152">
        <f t="shared" si="29"/>
        <v>1.7459045540304974E-2</v>
      </c>
      <c r="AI21" s="152">
        <f t="shared" si="29"/>
        <v>1.8046234090995483E-2</v>
      </c>
      <c r="AJ21" s="152">
        <f t="shared" si="29"/>
        <v>1.7459045540304974E-2</v>
      </c>
      <c r="AK21" s="152">
        <f t="shared" si="29"/>
        <v>1.8046234090995483E-2</v>
      </c>
      <c r="AL21" s="152">
        <f t="shared" si="29"/>
        <v>1.8046234090995483E-2</v>
      </c>
      <c r="AM21" s="152">
        <f t="shared" si="29"/>
        <v>1.6872195668136802E-2</v>
      </c>
      <c r="AN21" s="152">
        <f t="shared" si="29"/>
        <v>1.8046234090995483E-2</v>
      </c>
      <c r="AO21" s="152">
        <f t="shared" si="29"/>
        <v>1.7459045540304974E-2</v>
      </c>
      <c r="AP21" s="152">
        <f t="shared" ref="AP21:BQ21" si="30">(1+SUMIF($C$2:$H$2,AP$2,$C$21:$H$21))^(AP$4/365)-1</f>
        <v>1.8046234090995483E-2</v>
      </c>
      <c r="AQ21" s="152">
        <f t="shared" si="30"/>
        <v>1.7459045540304974E-2</v>
      </c>
      <c r="AR21" s="152">
        <f t="shared" si="30"/>
        <v>1.8046234090995483E-2</v>
      </c>
      <c r="AS21" s="152">
        <f t="shared" si="30"/>
        <v>1.8046234090995483E-2</v>
      </c>
      <c r="AT21" s="152">
        <f t="shared" si="30"/>
        <v>1.7459045540304974E-2</v>
      </c>
      <c r="AU21" s="152">
        <f t="shared" si="30"/>
        <v>1.8046234090995483E-2</v>
      </c>
      <c r="AV21" s="152">
        <f t="shared" si="30"/>
        <v>1.7459045540304974E-2</v>
      </c>
      <c r="AW21" s="152">
        <f t="shared" si="30"/>
        <v>1.8046234090995483E-2</v>
      </c>
      <c r="AX21" s="152">
        <f t="shared" si="30"/>
        <v>1.8046234090995483E-2</v>
      </c>
      <c r="AY21" s="152">
        <f t="shared" si="30"/>
        <v>1.6285684279147672E-2</v>
      </c>
      <c r="AZ21" s="152">
        <f t="shared" si="30"/>
        <v>1.8046234090995483E-2</v>
      </c>
      <c r="BA21" s="152">
        <f t="shared" si="30"/>
        <v>1.7459045540304974E-2</v>
      </c>
      <c r="BB21" s="152">
        <f t="shared" si="30"/>
        <v>1.8046234090995483E-2</v>
      </c>
      <c r="BC21" s="152">
        <f t="shared" si="30"/>
        <v>1.7459045540304974E-2</v>
      </c>
      <c r="BD21" s="152">
        <f t="shared" si="30"/>
        <v>1.8046234090995483E-2</v>
      </c>
      <c r="BE21" s="152">
        <f t="shared" si="30"/>
        <v>1.8046234090995483E-2</v>
      </c>
      <c r="BF21" s="152">
        <f t="shared" si="30"/>
        <v>1.7459045540304974E-2</v>
      </c>
      <c r="BG21" s="152">
        <f t="shared" si="30"/>
        <v>1.8046234090995483E-2</v>
      </c>
      <c r="BH21" s="152">
        <f t="shared" si="30"/>
        <v>1.7459045540304974E-2</v>
      </c>
      <c r="BI21" s="152">
        <f t="shared" si="30"/>
        <v>1.8046234090995483E-2</v>
      </c>
      <c r="BJ21" s="152">
        <f t="shared" si="30"/>
        <v>1.8046234090995483E-2</v>
      </c>
      <c r="BK21" s="152">
        <f t="shared" si="30"/>
        <v>1.6285684279147672E-2</v>
      </c>
      <c r="BL21" s="152">
        <f t="shared" si="30"/>
        <v>1.8046234090995483E-2</v>
      </c>
      <c r="BM21" s="152">
        <f t="shared" si="30"/>
        <v>1.7459045540304974E-2</v>
      </c>
      <c r="BN21" s="152">
        <f t="shared" si="30"/>
        <v>1.8046234090995483E-2</v>
      </c>
      <c r="BO21" s="152">
        <f t="shared" si="30"/>
        <v>1.7459045540304974E-2</v>
      </c>
      <c r="BP21" s="152">
        <f t="shared" si="30"/>
        <v>1.8046234090995483E-2</v>
      </c>
      <c r="BQ21" s="152">
        <f t="shared" si="30"/>
        <v>1.8046234090995483E-2</v>
      </c>
    </row>
    <row r="22" spans="1:129">
      <c r="A22" s="68" t="s">
        <v>19</v>
      </c>
      <c r="B22" s="14"/>
      <c r="C22" s="59" t="s">
        <v>150</v>
      </c>
      <c r="D22" s="59" t="s">
        <v>150</v>
      </c>
      <c r="E22" s="59" t="s">
        <v>150</v>
      </c>
      <c r="F22" s="59" t="s">
        <v>150</v>
      </c>
      <c r="G22" s="59" t="s">
        <v>150</v>
      </c>
      <c r="H22" s="59" t="s">
        <v>150</v>
      </c>
      <c r="I22" s="119">
        <v>1</v>
      </c>
      <c r="J22" s="59">
        <f>I22/(1+J21)</f>
        <v>0.98284054221461692</v>
      </c>
      <c r="K22" s="59">
        <f t="shared" ref="K22:BP22" si="31">J22/(1+K21)</f>
        <v>0.96541837620192816</v>
      </c>
      <c r="L22" s="59">
        <f t="shared" si="31"/>
        <v>0.94885232033025813</v>
      </c>
      <c r="M22" s="59">
        <f t="shared" si="31"/>
        <v>0.9320326411083677</v>
      </c>
      <c r="N22" s="59">
        <f t="shared" si="31"/>
        <v>0.91551111324582568</v>
      </c>
      <c r="O22" s="59">
        <f t="shared" si="31"/>
        <v>0.9008403123332378</v>
      </c>
      <c r="P22" s="59">
        <f t="shared" si="31"/>
        <v>0.88487171030851086</v>
      </c>
      <c r="Q22" s="59">
        <f t="shared" si="31"/>
        <v>0.86968779154999232</v>
      </c>
      <c r="R22" s="59">
        <f t="shared" si="31"/>
        <v>0.85427140971306559</v>
      </c>
      <c r="S22" s="59">
        <f t="shared" si="31"/>
        <v>0.83961257552083457</v>
      </c>
      <c r="T22" s="59">
        <f t="shared" si="31"/>
        <v>0.82472931720091991</v>
      </c>
      <c r="U22" s="59">
        <f t="shared" si="31"/>
        <v>0.81010988458428257</v>
      </c>
      <c r="V22" s="59">
        <f t="shared" si="31"/>
        <v>0.79620883821823707</v>
      </c>
      <c r="W22" s="59">
        <f t="shared" si="31"/>
        <v>0.78209496932048961</v>
      </c>
      <c r="X22" s="59">
        <f t="shared" si="31"/>
        <v>0.76867464371027427</v>
      </c>
      <c r="Y22" s="59">
        <f t="shared" si="31"/>
        <v>0.75504885531708399</v>
      </c>
      <c r="Z22" s="59">
        <f t="shared" si="31"/>
        <v>0.74166460228720399</v>
      </c>
      <c r="AA22" s="59">
        <f t="shared" si="31"/>
        <v>0.72977964145314844</v>
      </c>
      <c r="AB22" s="59">
        <f t="shared" si="31"/>
        <v>0.7168433191099246</v>
      </c>
      <c r="AC22" s="59">
        <f t="shared" si="31"/>
        <v>0.70454267643692403</v>
      </c>
      <c r="AD22" s="59">
        <f t="shared" si="31"/>
        <v>0.69205371312630415</v>
      </c>
      <c r="AE22" s="59">
        <f t="shared" si="31"/>
        <v>0.68017844665069571</v>
      </c>
      <c r="AF22" s="59">
        <f t="shared" si="31"/>
        <v>0.66812137197091159</v>
      </c>
      <c r="AG22" s="59">
        <f t="shared" si="31"/>
        <v>0.65627802510115985</v>
      </c>
      <c r="AH22" s="59">
        <f t="shared" si="31"/>
        <v>0.64501665003396191</v>
      </c>
      <c r="AI22" s="59">
        <f t="shared" si="31"/>
        <v>0.63358286533017005</v>
      </c>
      <c r="AJ22" s="59">
        <f t="shared" si="31"/>
        <v>0.62271092689899499</v>
      </c>
      <c r="AK22" s="59">
        <f t="shared" si="31"/>
        <v>0.61167254103641777</v>
      </c>
      <c r="AL22" s="59">
        <f t="shared" si="31"/>
        <v>0.60082982535913487</v>
      </c>
      <c r="AM22" s="59">
        <f t="shared" si="31"/>
        <v>0.59086070788311706</v>
      </c>
      <c r="AN22" s="59">
        <f t="shared" si="31"/>
        <v>0.58038690984470998</v>
      </c>
      <c r="AO22" s="59">
        <f t="shared" si="31"/>
        <v>0.57042778516604076</v>
      </c>
      <c r="AP22" s="59">
        <f t="shared" si="31"/>
        <v>0.56031618807113481</v>
      </c>
      <c r="AQ22" s="59">
        <f t="shared" si="31"/>
        <v>0.55070146609546144</v>
      </c>
      <c r="AR22" s="59">
        <f t="shared" si="31"/>
        <v>0.5409395444472892</v>
      </c>
      <c r="AS22" s="59">
        <f t="shared" si="31"/>
        <v>0.53135066594523517</v>
      </c>
      <c r="AT22" s="59">
        <f t="shared" si="31"/>
        <v>0.52223297662371271</v>
      </c>
      <c r="AU22" s="59">
        <f t="shared" si="31"/>
        <v>0.51297569711066215</v>
      </c>
      <c r="AV22" s="59">
        <f t="shared" si="31"/>
        <v>0.50417331229116435</v>
      </c>
      <c r="AW22" s="59">
        <f t="shared" si="31"/>
        <v>0.49523616453562769</v>
      </c>
      <c r="AX22" s="59">
        <f t="shared" si="31"/>
        <v>0.48645743970343319</v>
      </c>
      <c r="AY22" s="59">
        <f t="shared" si="31"/>
        <v>0.47866209986857966</v>
      </c>
      <c r="AZ22" s="59">
        <f t="shared" si="31"/>
        <v>0.47017717254852659</v>
      </c>
      <c r="BA22" s="59">
        <f t="shared" si="31"/>
        <v>0.46210918720452937</v>
      </c>
      <c r="BB22" s="59">
        <f t="shared" si="31"/>
        <v>0.45391768244901232</v>
      </c>
      <c r="BC22" s="59">
        <f t="shared" si="31"/>
        <v>0.44612870113898961</v>
      </c>
      <c r="BD22" s="59">
        <f t="shared" si="31"/>
        <v>0.438220471919268</v>
      </c>
      <c r="BE22" s="59">
        <f t="shared" si="31"/>
        <v>0.43045242666267625</v>
      </c>
      <c r="BF22" s="59">
        <f t="shared" si="31"/>
        <v>0.42306609641874238</v>
      </c>
      <c r="BG22" s="59">
        <f t="shared" si="31"/>
        <v>0.41556668278086051</v>
      </c>
      <c r="BH22" s="59">
        <f t="shared" si="31"/>
        <v>0.4084357838306707</v>
      </c>
      <c r="BI22" s="59">
        <f t="shared" si="31"/>
        <v>0.40119571209392019</v>
      </c>
      <c r="BJ22" s="59">
        <f t="shared" si="31"/>
        <v>0.39408398033331393</v>
      </c>
      <c r="BK22" s="59">
        <f t="shared" si="31"/>
        <v>0.38776889847940549</v>
      </c>
      <c r="BL22" s="59">
        <f t="shared" si="31"/>
        <v>0.38089517498745123</v>
      </c>
      <c r="BM22" s="59">
        <f t="shared" si="31"/>
        <v>0.37435922031159796</v>
      </c>
      <c r="BN22" s="59">
        <f t="shared" si="31"/>
        <v>0.36772320133953446</v>
      </c>
      <c r="BO22" s="59">
        <f t="shared" si="31"/>
        <v>0.36141327058944284</v>
      </c>
      <c r="BP22" s="59">
        <f t="shared" si="31"/>
        <v>0.35500673592898813</v>
      </c>
      <c r="BQ22" s="59">
        <f t="shared" ref="BQ22" si="32">BP22/(1+BQ21)</f>
        <v>0.34871376568272511</v>
      </c>
    </row>
    <row r="23" spans="1:129" s="154" customFormat="1" ht="13.5">
      <c r="A23" s="70" t="s">
        <v>18</v>
      </c>
      <c r="B23" s="7"/>
      <c r="C23" s="29">
        <f t="shared" ref="C23:H23" si="33">SUMIF($J$2:$BQ$2,C$2,$J23:$BQ23)</f>
        <v>-209234.412491558</v>
      </c>
      <c r="D23" s="29">
        <f t="shared" si="33"/>
        <v>576067.61134801339</v>
      </c>
      <c r="E23" s="29">
        <f t="shared" si="33"/>
        <v>582171.48175457178</v>
      </c>
      <c r="F23" s="29">
        <f t="shared" si="33"/>
        <v>508215.69726117852</v>
      </c>
      <c r="G23" s="29">
        <f t="shared" si="33"/>
        <v>421349.86982795841</v>
      </c>
      <c r="H23" s="29">
        <f t="shared" si="33"/>
        <v>281528.7401963686</v>
      </c>
      <c r="I23" s="153"/>
      <c r="J23" s="113">
        <f t="shared" ref="J23:BP23" si="34">J20*J22</f>
        <v>-128274.97691633612</v>
      </c>
      <c r="K23" s="113">
        <f t="shared" si="34"/>
        <v>-25238.295986632867</v>
      </c>
      <c r="L23" s="113">
        <f t="shared" si="34"/>
        <v>-31403.215600627333</v>
      </c>
      <c r="M23" s="113">
        <f t="shared" si="34"/>
        <v>-24317.923987961702</v>
      </c>
      <c r="N23" s="113">
        <f t="shared" si="34"/>
        <v>-6463.0473346013923</v>
      </c>
      <c r="O23" s="113">
        <f t="shared" si="34"/>
        <v>15249.139125060236</v>
      </c>
      <c r="P23" s="113">
        <f t="shared" si="34"/>
        <v>36157.490498957675</v>
      </c>
      <c r="Q23" s="113">
        <f t="shared" si="34"/>
        <v>70523.602966909311</v>
      </c>
      <c r="R23" s="113">
        <f t="shared" si="34"/>
        <v>79340.834729879425</v>
      </c>
      <c r="S23" s="113">
        <f t="shared" si="34"/>
        <v>57620.912038254479</v>
      </c>
      <c r="T23" s="113">
        <f t="shared" si="34"/>
        <v>56202.521253398067</v>
      </c>
      <c r="U23" s="113">
        <f t="shared" si="34"/>
        <v>55391.553426797611</v>
      </c>
      <c r="V23" s="113">
        <f t="shared" si="34"/>
        <v>54623.679283360398</v>
      </c>
      <c r="W23" s="113">
        <f t="shared" si="34"/>
        <v>53277.310358920164</v>
      </c>
      <c r="X23" s="113">
        <f t="shared" si="34"/>
        <v>52722.153197756023</v>
      </c>
      <c r="Y23" s="113">
        <f t="shared" si="34"/>
        <v>51421.461803321341</v>
      </c>
      <c r="Z23" s="113">
        <f t="shared" si="34"/>
        <v>53557.931600732525</v>
      </c>
      <c r="AA23" s="113">
        <f t="shared" si="34"/>
        <v>53029.033387439769</v>
      </c>
      <c r="AB23" s="113">
        <f t="shared" si="34"/>
        <v>50928.184723258317</v>
      </c>
      <c r="AC23" s="113">
        <f t="shared" si="34"/>
        <v>50791.715149404037</v>
      </c>
      <c r="AD23" s="113">
        <f t="shared" si="34"/>
        <v>49537.16555142303</v>
      </c>
      <c r="AE23" s="113">
        <f t="shared" si="34"/>
        <v>49022.425146513087</v>
      </c>
      <c r="AF23" s="113">
        <f t="shared" si="34"/>
        <v>47810.358175828078</v>
      </c>
      <c r="AG23" s="113">
        <f t="shared" si="34"/>
        <v>47121.315234041736</v>
      </c>
      <c r="AH23" s="113">
        <f t="shared" si="34"/>
        <v>46468.99561994063</v>
      </c>
      <c r="AI23" s="113">
        <f t="shared" si="34"/>
        <v>45318.235748085259</v>
      </c>
      <c r="AJ23" s="113">
        <f t="shared" si="34"/>
        <v>44849.00067315263</v>
      </c>
      <c r="AK23" s="113">
        <f t="shared" si="34"/>
        <v>43737.120744752669</v>
      </c>
      <c r="AL23" s="113">
        <f t="shared" si="34"/>
        <v>45557.256840026639</v>
      </c>
      <c r="AM23" s="113">
        <f t="shared" si="34"/>
        <v>44907.491763062004</v>
      </c>
      <c r="AN23" s="113">
        <f t="shared" si="34"/>
        <v>43464.345238626527</v>
      </c>
      <c r="AO23" s="113">
        <f t="shared" si="34"/>
        <v>59146.899966794714</v>
      </c>
      <c r="AP23" s="113">
        <f t="shared" si="34"/>
        <v>41600.823352532032</v>
      </c>
      <c r="AQ23" s="113">
        <f t="shared" si="34"/>
        <v>42169.536633921445</v>
      </c>
      <c r="AR23" s="113">
        <f t="shared" si="34"/>
        <v>39724.980572287801</v>
      </c>
      <c r="AS23" s="113">
        <f t="shared" si="34"/>
        <v>39594.584271483349</v>
      </c>
      <c r="AT23" s="113">
        <f t="shared" si="34"/>
        <v>39498.009974951579</v>
      </c>
      <c r="AU23" s="113">
        <f t="shared" si="34"/>
        <v>37672.132994978507</v>
      </c>
      <c r="AV23" s="113">
        <f t="shared" si="34"/>
        <v>38091.005909141677</v>
      </c>
      <c r="AW23" s="113">
        <f t="shared" si="34"/>
        <v>36788.629743372272</v>
      </c>
      <c r="AX23" s="113">
        <f t="shared" si="34"/>
        <v>39376.988247115049</v>
      </c>
      <c r="AY23" s="113">
        <f t="shared" si="34"/>
        <v>39596.036729638123</v>
      </c>
      <c r="AZ23" s="113">
        <f t="shared" si="34"/>
        <v>35575.126336962014</v>
      </c>
      <c r="BA23" s="113">
        <f t="shared" si="34"/>
        <v>37091.839375587508</v>
      </c>
      <c r="BB23" s="113">
        <f t="shared" si="34"/>
        <v>35431.503976236236</v>
      </c>
      <c r="BC23" s="113">
        <f t="shared" si="34"/>
        <v>35795.340108829252</v>
      </c>
      <c r="BD23" s="113">
        <f t="shared" si="34"/>
        <v>34191.451668089408</v>
      </c>
      <c r="BE23" s="113">
        <f t="shared" si="34"/>
        <v>33962.300505739455</v>
      </c>
      <c r="BF23" s="113">
        <f t="shared" si="34"/>
        <v>33921.331887281944</v>
      </c>
      <c r="BG23" s="113">
        <f t="shared" si="34"/>
        <v>32404.641158357292</v>
      </c>
      <c r="BH23" s="113">
        <f t="shared" si="34"/>
        <v>32734.267779233007</v>
      </c>
      <c r="BI23" s="113">
        <f t="shared" si="34"/>
        <v>31269.042054889087</v>
      </c>
      <c r="BJ23" s="113">
        <f t="shared" si="34"/>
        <v>33473.300112187309</v>
      </c>
      <c r="BK23" s="113">
        <f t="shared" si="34"/>
        <v>33666.33423428789</v>
      </c>
      <c r="BL23" s="113">
        <f t="shared" si="34"/>
        <v>30231.193948693042</v>
      </c>
      <c r="BM23" s="113">
        <f t="shared" si="34"/>
        <v>31529.490542370851</v>
      </c>
      <c r="BN23" s="113">
        <f t="shared" si="34"/>
        <v>30111.898439606095</v>
      </c>
      <c r="BO23" s="113">
        <f t="shared" si="34"/>
        <v>30424.828249612259</v>
      </c>
      <c r="BP23" s="113">
        <f t="shared" si="34"/>
        <v>29055.252235711476</v>
      </c>
      <c r="BQ23" s="113">
        <f t="shared" ref="BQ23" si="35">BQ20*BQ22</f>
        <v>63036.442433899676</v>
      </c>
    </row>
    <row r="24" spans="1:129" s="154" customFormat="1" ht="13.5">
      <c r="A24" s="70" t="s">
        <v>21</v>
      </c>
      <c r="B24" s="7"/>
      <c r="C24" s="113">
        <f t="shared" ref="C24:BO24" si="36">B24+C23</f>
        <v>-209234.412491558</v>
      </c>
      <c r="D24" s="113">
        <f t="shared" si="36"/>
        <v>366833.19885645539</v>
      </c>
      <c r="E24" s="113">
        <f t="shared" si="36"/>
        <v>949004.68061102717</v>
      </c>
      <c r="F24" s="113">
        <f t="shared" si="36"/>
        <v>1457220.3778722058</v>
      </c>
      <c r="G24" s="113">
        <f t="shared" ref="G24" si="37">F24+G23</f>
        <v>1878570.2477001641</v>
      </c>
      <c r="H24" s="113">
        <f t="shared" ref="H24" si="38">G24+H23</f>
        <v>2160098.9878965328</v>
      </c>
      <c r="I24" s="153"/>
      <c r="J24" s="113">
        <f t="shared" si="36"/>
        <v>-128274.97691633612</v>
      </c>
      <c r="K24" s="113">
        <f t="shared" si="36"/>
        <v>-153513.27290296898</v>
      </c>
      <c r="L24" s="113">
        <f t="shared" si="36"/>
        <v>-184916.48850359631</v>
      </c>
      <c r="M24" s="113">
        <f t="shared" si="36"/>
        <v>-209234.412491558</v>
      </c>
      <c r="N24" s="113">
        <f t="shared" si="36"/>
        <v>-215697.45982615941</v>
      </c>
      <c r="O24" s="113">
        <f t="shared" si="36"/>
        <v>-200448.32070109918</v>
      </c>
      <c r="P24" s="113">
        <f t="shared" si="36"/>
        <v>-164290.83020214149</v>
      </c>
      <c r="Q24" s="113">
        <f t="shared" si="36"/>
        <v>-93767.227235232174</v>
      </c>
      <c r="R24" s="113">
        <f t="shared" si="36"/>
        <v>-14426.392505352749</v>
      </c>
      <c r="S24" s="113">
        <f t="shared" si="36"/>
        <v>43194.51953290173</v>
      </c>
      <c r="T24" s="113">
        <f t="shared" si="36"/>
        <v>99397.040786299796</v>
      </c>
      <c r="U24" s="113">
        <f t="shared" si="36"/>
        <v>154788.59421309741</v>
      </c>
      <c r="V24" s="113">
        <f t="shared" si="36"/>
        <v>209412.27349645781</v>
      </c>
      <c r="W24" s="113">
        <f t="shared" si="36"/>
        <v>262689.58385537798</v>
      </c>
      <c r="X24" s="113">
        <f t="shared" si="36"/>
        <v>315411.73705313401</v>
      </c>
      <c r="Y24" s="113">
        <f t="shared" si="36"/>
        <v>366833.19885645533</v>
      </c>
      <c r="Z24" s="113">
        <f t="shared" si="36"/>
        <v>420391.13045718789</v>
      </c>
      <c r="AA24" s="113">
        <f t="shared" si="36"/>
        <v>473420.16384462768</v>
      </c>
      <c r="AB24" s="113">
        <f t="shared" si="36"/>
        <v>524348.34856788605</v>
      </c>
      <c r="AC24" s="113">
        <f t="shared" si="36"/>
        <v>575140.06371729006</v>
      </c>
      <c r="AD24" s="113">
        <f t="shared" si="36"/>
        <v>624677.22926871304</v>
      </c>
      <c r="AE24" s="113">
        <f t="shared" si="36"/>
        <v>673699.65441522608</v>
      </c>
      <c r="AF24" s="113">
        <f t="shared" si="36"/>
        <v>721510.0125910542</v>
      </c>
      <c r="AG24" s="113">
        <f t="shared" si="36"/>
        <v>768631.32782509597</v>
      </c>
      <c r="AH24" s="113">
        <f t="shared" si="36"/>
        <v>815100.32344503654</v>
      </c>
      <c r="AI24" s="113">
        <f t="shared" si="36"/>
        <v>860418.55919312185</v>
      </c>
      <c r="AJ24" s="113">
        <f t="shared" si="36"/>
        <v>905267.55986627447</v>
      </c>
      <c r="AK24" s="113">
        <f t="shared" si="36"/>
        <v>949004.68061102717</v>
      </c>
      <c r="AL24" s="113">
        <f t="shared" si="36"/>
        <v>994561.93745105376</v>
      </c>
      <c r="AM24" s="113">
        <f t="shared" si="36"/>
        <v>1039469.4292141157</v>
      </c>
      <c r="AN24" s="113">
        <f t="shared" si="36"/>
        <v>1082933.7744527422</v>
      </c>
      <c r="AO24" s="113">
        <f t="shared" si="36"/>
        <v>1142080.674419537</v>
      </c>
      <c r="AP24" s="113">
        <f t="shared" si="36"/>
        <v>1183681.4977720689</v>
      </c>
      <c r="AQ24" s="113">
        <f t="shared" si="36"/>
        <v>1225851.0344059905</v>
      </c>
      <c r="AR24" s="113">
        <f t="shared" si="36"/>
        <v>1265576.0149782782</v>
      </c>
      <c r="AS24" s="113">
        <f t="shared" si="36"/>
        <v>1305170.5992497616</v>
      </c>
      <c r="AT24" s="113">
        <f t="shared" si="36"/>
        <v>1344668.6092247132</v>
      </c>
      <c r="AU24" s="113">
        <f t="shared" si="36"/>
        <v>1382340.7422196916</v>
      </c>
      <c r="AV24" s="113">
        <f t="shared" si="36"/>
        <v>1420431.7481288332</v>
      </c>
      <c r="AW24" s="113">
        <f t="shared" si="36"/>
        <v>1457220.3778722056</v>
      </c>
      <c r="AX24" s="113">
        <f t="shared" si="36"/>
        <v>1496597.3661193205</v>
      </c>
      <c r="AY24" s="113">
        <f t="shared" si="36"/>
        <v>1536193.4028489587</v>
      </c>
      <c r="AZ24" s="113">
        <f t="shared" si="36"/>
        <v>1571768.5291859207</v>
      </c>
      <c r="BA24" s="113">
        <f t="shared" si="36"/>
        <v>1608860.3685615081</v>
      </c>
      <c r="BB24" s="113">
        <f t="shared" si="36"/>
        <v>1644291.8725377445</v>
      </c>
      <c r="BC24" s="113">
        <f t="shared" si="36"/>
        <v>1680087.2126465738</v>
      </c>
      <c r="BD24" s="113">
        <f t="shared" si="36"/>
        <v>1714278.6643146633</v>
      </c>
      <c r="BE24" s="113">
        <f t="shared" si="36"/>
        <v>1748240.9648204027</v>
      </c>
      <c r="BF24" s="113">
        <f t="shared" si="36"/>
        <v>1782162.2967076846</v>
      </c>
      <c r="BG24" s="113">
        <f t="shared" si="36"/>
        <v>1814566.9378660419</v>
      </c>
      <c r="BH24" s="113">
        <f t="shared" si="36"/>
        <v>1847301.2056452748</v>
      </c>
      <c r="BI24" s="113">
        <f t="shared" si="36"/>
        <v>1878570.2477001639</v>
      </c>
      <c r="BJ24" s="113">
        <f t="shared" si="36"/>
        <v>1912043.5478123513</v>
      </c>
      <c r="BK24" s="113">
        <f t="shared" si="36"/>
        <v>1945709.8820466392</v>
      </c>
      <c r="BL24" s="113">
        <f t="shared" si="36"/>
        <v>1975941.0759953323</v>
      </c>
      <c r="BM24" s="113">
        <f t="shared" si="36"/>
        <v>2007470.5665377032</v>
      </c>
      <c r="BN24" s="113">
        <f t="shared" si="36"/>
        <v>2037582.4649773093</v>
      </c>
      <c r="BO24" s="113">
        <f t="shared" si="36"/>
        <v>2068007.2932269217</v>
      </c>
      <c r="BP24" s="113">
        <f t="shared" ref="BP24" si="39">BO24+BP23</f>
        <v>2097062.5454626333</v>
      </c>
      <c r="BQ24" s="113">
        <f t="shared" ref="BQ24" si="40">BP24+BQ23</f>
        <v>2160098.9878965328</v>
      </c>
    </row>
    <row r="25" spans="1:129" s="9" customFormat="1">
      <c r="B25" s="13"/>
      <c r="J25" s="119">
        <f>IF(J24&lt;0,1000,J$5)</f>
        <v>1000</v>
      </c>
      <c r="K25" s="119">
        <f t="shared" ref="K25:BQ25" si="41">IF(K24&lt;0,1000,K$5)</f>
        <v>1000</v>
      </c>
      <c r="L25" s="119">
        <f t="shared" si="41"/>
        <v>1000</v>
      </c>
      <c r="M25" s="119">
        <f t="shared" si="41"/>
        <v>1000</v>
      </c>
      <c r="N25" s="119">
        <f t="shared" si="41"/>
        <v>1000</v>
      </c>
      <c r="O25" s="119">
        <f t="shared" si="41"/>
        <v>1000</v>
      </c>
      <c r="P25" s="119">
        <f t="shared" si="41"/>
        <v>1000</v>
      </c>
      <c r="Q25" s="119">
        <f t="shared" si="41"/>
        <v>1000</v>
      </c>
      <c r="R25" s="119">
        <f t="shared" si="41"/>
        <v>1000</v>
      </c>
      <c r="S25" s="119">
        <f t="shared" si="41"/>
        <v>10</v>
      </c>
      <c r="T25" s="119">
        <f t="shared" si="41"/>
        <v>11</v>
      </c>
      <c r="U25" s="119">
        <f t="shared" si="41"/>
        <v>12</v>
      </c>
      <c r="V25" s="119">
        <f t="shared" si="41"/>
        <v>13</v>
      </c>
      <c r="W25" s="119">
        <f t="shared" si="41"/>
        <v>14</v>
      </c>
      <c r="X25" s="119">
        <f t="shared" si="41"/>
        <v>15</v>
      </c>
      <c r="Y25" s="119">
        <f t="shared" si="41"/>
        <v>16</v>
      </c>
      <c r="Z25" s="119">
        <f t="shared" si="41"/>
        <v>17</v>
      </c>
      <c r="AA25" s="119">
        <f t="shared" si="41"/>
        <v>18</v>
      </c>
      <c r="AB25" s="119">
        <f t="shared" si="41"/>
        <v>19</v>
      </c>
      <c r="AC25" s="119">
        <f t="shared" si="41"/>
        <v>20</v>
      </c>
      <c r="AD25" s="119">
        <f t="shared" si="41"/>
        <v>21</v>
      </c>
      <c r="AE25" s="119">
        <f t="shared" si="41"/>
        <v>22</v>
      </c>
      <c r="AF25" s="119">
        <f t="shared" si="41"/>
        <v>23</v>
      </c>
      <c r="AG25" s="119">
        <f t="shared" si="41"/>
        <v>24</v>
      </c>
      <c r="AH25" s="119">
        <f t="shared" si="41"/>
        <v>25</v>
      </c>
      <c r="AI25" s="119">
        <f t="shared" si="41"/>
        <v>26</v>
      </c>
      <c r="AJ25" s="119">
        <f t="shared" si="41"/>
        <v>27</v>
      </c>
      <c r="AK25" s="119">
        <f t="shared" si="41"/>
        <v>28</v>
      </c>
      <c r="AL25" s="119">
        <f t="shared" si="41"/>
        <v>29</v>
      </c>
      <c r="AM25" s="119">
        <f t="shared" si="41"/>
        <v>30</v>
      </c>
      <c r="AN25" s="119">
        <f t="shared" si="41"/>
        <v>31</v>
      </c>
      <c r="AO25" s="119">
        <f t="shared" si="41"/>
        <v>32</v>
      </c>
      <c r="AP25" s="119">
        <f t="shared" si="41"/>
        <v>33</v>
      </c>
      <c r="AQ25" s="119">
        <f t="shared" si="41"/>
        <v>34</v>
      </c>
      <c r="AR25" s="119">
        <f t="shared" si="41"/>
        <v>35</v>
      </c>
      <c r="AS25" s="119">
        <f t="shared" si="41"/>
        <v>36</v>
      </c>
      <c r="AT25" s="119">
        <f t="shared" si="41"/>
        <v>37</v>
      </c>
      <c r="AU25" s="119">
        <f t="shared" si="41"/>
        <v>38</v>
      </c>
      <c r="AV25" s="119">
        <f t="shared" si="41"/>
        <v>39</v>
      </c>
      <c r="AW25" s="119">
        <f t="shared" si="41"/>
        <v>40</v>
      </c>
      <c r="AX25" s="119">
        <f t="shared" si="41"/>
        <v>41</v>
      </c>
      <c r="AY25" s="119">
        <f t="shared" si="41"/>
        <v>42</v>
      </c>
      <c r="AZ25" s="119">
        <f t="shared" si="41"/>
        <v>43</v>
      </c>
      <c r="BA25" s="119">
        <f t="shared" si="41"/>
        <v>44</v>
      </c>
      <c r="BB25" s="119">
        <f t="shared" si="41"/>
        <v>45</v>
      </c>
      <c r="BC25" s="119">
        <f t="shared" si="41"/>
        <v>46</v>
      </c>
      <c r="BD25" s="119">
        <f t="shared" si="41"/>
        <v>47</v>
      </c>
      <c r="BE25" s="119">
        <f t="shared" si="41"/>
        <v>48</v>
      </c>
      <c r="BF25" s="119">
        <f t="shared" si="41"/>
        <v>49</v>
      </c>
      <c r="BG25" s="119">
        <f t="shared" si="41"/>
        <v>50</v>
      </c>
      <c r="BH25" s="119">
        <f t="shared" si="41"/>
        <v>51</v>
      </c>
      <c r="BI25" s="119">
        <f t="shared" si="41"/>
        <v>52</v>
      </c>
      <c r="BJ25" s="119">
        <f t="shared" si="41"/>
        <v>53</v>
      </c>
      <c r="BK25" s="119">
        <f t="shared" si="41"/>
        <v>54</v>
      </c>
      <c r="BL25" s="119">
        <f t="shared" si="41"/>
        <v>55</v>
      </c>
      <c r="BM25" s="119">
        <f t="shared" si="41"/>
        <v>56</v>
      </c>
      <c r="BN25" s="119">
        <f t="shared" si="41"/>
        <v>57</v>
      </c>
      <c r="BO25" s="119">
        <f t="shared" si="41"/>
        <v>58</v>
      </c>
      <c r="BP25" s="119">
        <f t="shared" si="41"/>
        <v>59</v>
      </c>
      <c r="BQ25" s="119">
        <f t="shared" si="41"/>
        <v>60</v>
      </c>
    </row>
    <row r="26" spans="1:129">
      <c r="B26" s="12"/>
    </row>
    <row r="27" spans="1:129">
      <c r="A27" s="18" t="s">
        <v>228</v>
      </c>
      <c r="B27" s="19" t="s">
        <v>1</v>
      </c>
      <c r="C27" s="19" t="s">
        <v>2</v>
      </c>
    </row>
    <row r="28" spans="1:129">
      <c r="A28" s="73" t="s">
        <v>128</v>
      </c>
      <c r="B28" s="69" t="s">
        <v>256</v>
      </c>
      <c r="C28" s="84">
        <f>-MIN('Показатели эффективности'!J17:BQ17)</f>
        <v>222903.65097190213</v>
      </c>
    </row>
    <row r="29" spans="1:129">
      <c r="A29" s="27" t="s">
        <v>5</v>
      </c>
      <c r="B29" s="69" t="s">
        <v>256</v>
      </c>
      <c r="C29" s="84">
        <f>H24</f>
        <v>2160098.9878965328</v>
      </c>
    </row>
    <row r="30" spans="1:129">
      <c r="A30" s="27" t="s">
        <v>242</v>
      </c>
      <c r="B30" s="69" t="s">
        <v>234</v>
      </c>
      <c r="C30" s="234">
        <f>C29/C28</f>
        <v>9.690729507920091</v>
      </c>
    </row>
    <row r="31" spans="1:129">
      <c r="A31" s="27" t="s">
        <v>20</v>
      </c>
      <c r="B31" s="28" t="s">
        <v>3</v>
      </c>
      <c r="C31" s="26">
        <f>IFERROR(IRR('Показатели эффективности'!$C$16:$H$16),"н/д")</f>
        <v>3.4365448917675812</v>
      </c>
    </row>
    <row r="32" spans="1:129">
      <c r="A32" s="27" t="s">
        <v>22</v>
      </c>
      <c r="B32" s="28" t="s">
        <v>119</v>
      </c>
      <c r="C32" s="86">
        <f>IF(MIN($J$18:$BQ$18)=1000,"н/д",MIN($J$18:$BQ$18))</f>
        <v>9</v>
      </c>
    </row>
    <row r="33" spans="1:4">
      <c r="A33" s="27" t="s">
        <v>23</v>
      </c>
      <c r="B33" s="28" t="s">
        <v>119</v>
      </c>
      <c r="C33" s="86">
        <f>IF(MIN($J$25:$BQ$25)=1000,"н/д",MIN($J$25:$BQ$25))</f>
        <v>10</v>
      </c>
    </row>
    <row r="43" spans="1:4">
      <c r="A43" s="18" t="s">
        <v>367</v>
      </c>
      <c r="B43" s="19" t="s">
        <v>1</v>
      </c>
      <c r="C43" s="19" t="s">
        <v>2</v>
      </c>
    </row>
    <row r="44" spans="1:4">
      <c r="A44" s="73" t="s">
        <v>368</v>
      </c>
      <c r="B44" s="69" t="s">
        <v>256</v>
      </c>
      <c r="C44" s="84">
        <f>Кредиты!BK25</f>
        <v>150000</v>
      </c>
      <c r="D44" s="281">
        <f>C44/$C$46</f>
        <v>0.61245202297317647</v>
      </c>
    </row>
    <row r="45" spans="1:4">
      <c r="A45" s="27" t="s">
        <v>369</v>
      </c>
      <c r="B45" s="69" t="s">
        <v>256</v>
      </c>
      <c r="C45" s="84">
        <f>ОДДС!$BS$23</f>
        <v>94917.14350426686</v>
      </c>
      <c r="D45" s="281">
        <f>C45/$C$46</f>
        <v>0.38754797702682353</v>
      </c>
    </row>
    <row r="46" spans="1:4">
      <c r="A46" s="278" t="s">
        <v>11</v>
      </c>
      <c r="B46" s="279" t="s">
        <v>256</v>
      </c>
      <c r="C46" s="280">
        <f>SUM(C44:C45)</f>
        <v>244917.14350426686</v>
      </c>
    </row>
  </sheetData>
  <pageMargins left="0.7" right="0.7" top="0.75" bottom="0.75" header="0.3" footer="0.3"/>
  <pageSetup paperSize="9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26"/>
  <sheetViews>
    <sheetView topLeftCell="A28" workbookViewId="0">
      <selection activeCell="N51" sqref="N51"/>
    </sheetView>
  </sheetViews>
  <sheetFormatPr defaultColWidth="8.5703125" defaultRowHeight="13.5"/>
  <cols>
    <col min="1" max="1" width="34.5703125" style="182" customWidth="1"/>
    <col min="2" max="2" width="10.5703125" style="182" customWidth="1"/>
    <col min="3" max="3" width="12.42578125" style="182" customWidth="1"/>
    <col min="4" max="4" width="12.5703125" style="182" customWidth="1"/>
    <col min="5" max="6" width="11.5703125" style="182" customWidth="1"/>
    <col min="7" max="7" width="10.5703125" style="182" customWidth="1"/>
    <col min="8" max="9" width="11.42578125" style="182" customWidth="1"/>
    <col min="10" max="16384" width="8.5703125" style="182"/>
  </cols>
  <sheetData>
    <row r="1" spans="1:10" ht="13.9">
      <c r="A1" s="185" t="s">
        <v>130</v>
      </c>
      <c r="B1" s="186">
        <v>100</v>
      </c>
      <c r="C1" s="186">
        <v>130</v>
      </c>
      <c r="D1" s="186">
        <v>120</v>
      </c>
      <c r="E1" s="186">
        <v>110</v>
      </c>
      <c r="F1" s="186">
        <v>100</v>
      </c>
      <c r="G1" s="186">
        <v>90</v>
      </c>
      <c r="H1" s="186">
        <v>80</v>
      </c>
      <c r="I1" s="186">
        <v>70</v>
      </c>
    </row>
    <row r="2" spans="1:10" ht="13.9">
      <c r="A2" s="187" t="s">
        <v>128</v>
      </c>
      <c r="B2" s="188">
        <f>'Показатели эффективности'!$C$28</f>
        <v>222903.65097190213</v>
      </c>
      <c r="C2" s="188">
        <f t="dataTable" ref="C2:I6" dt2D="0" dtr="1" r1="B1" ca="1"/>
        <v>206389.90303930105</v>
      </c>
      <c r="D2" s="188">
        <v>209541.32024360212</v>
      </c>
      <c r="E2" s="188">
        <v>212692.7374479032</v>
      </c>
      <c r="F2" s="188">
        <v>222903.65097190213</v>
      </c>
      <c r="G2" s="188">
        <v>235325.22710093437</v>
      </c>
      <c r="H2" s="188">
        <v>264131.02781151287</v>
      </c>
      <c r="I2" s="188">
        <v>314208.69545322779</v>
      </c>
    </row>
    <row r="3" spans="1:10" ht="13.9">
      <c r="A3" s="187" t="s">
        <v>5</v>
      </c>
      <c r="B3" s="188">
        <f>'Показатели эффективности'!$C$29</f>
        <v>2160098.9878965328</v>
      </c>
      <c r="C3" s="188">
        <v>4133257.6681406638</v>
      </c>
      <c r="D3" s="188">
        <v>3475735.4541491615</v>
      </c>
      <c r="E3" s="188">
        <v>2817976.8922087569</v>
      </c>
      <c r="F3" s="188">
        <v>2160098.9878965328</v>
      </c>
      <c r="G3" s="188">
        <v>1501868.1086801642</v>
      </c>
      <c r="H3" s="188">
        <v>842701.28030479327</v>
      </c>
      <c r="I3" s="188">
        <v>178239.95374555129</v>
      </c>
    </row>
    <row r="4" spans="1:10" ht="13.9">
      <c r="A4" s="187" t="s">
        <v>131</v>
      </c>
      <c r="B4" s="189">
        <f>'Показатели эффективности'!$C$31</f>
        <v>3.4365448917675812</v>
      </c>
      <c r="C4" s="190">
        <v>6.5435597682251041</v>
      </c>
      <c r="D4" s="190">
        <v>5.4773638332627455</v>
      </c>
      <c r="E4" s="190">
        <v>4.4423385656740386</v>
      </c>
      <c r="F4" s="190">
        <v>3.4365448917675812</v>
      </c>
      <c r="G4" s="190">
        <v>2.4570300583299138</v>
      </c>
      <c r="H4" s="190">
        <v>1.4964684990961863</v>
      </c>
      <c r="I4" s="190">
        <v>0.50177209028039327</v>
      </c>
      <c r="J4" s="183"/>
    </row>
    <row r="5" spans="1:10" ht="13.9">
      <c r="A5" s="187" t="s">
        <v>132</v>
      </c>
      <c r="B5" s="188">
        <f>'Показатели эффективности'!$C$32</f>
        <v>9</v>
      </c>
      <c r="C5" s="191">
        <v>8</v>
      </c>
      <c r="D5" s="191">
        <v>8</v>
      </c>
      <c r="E5" s="191">
        <v>9</v>
      </c>
      <c r="F5" s="191">
        <v>9</v>
      </c>
      <c r="G5" s="191">
        <v>11</v>
      </c>
      <c r="H5" s="191">
        <v>14</v>
      </c>
      <c r="I5" s="191">
        <v>28</v>
      </c>
    </row>
    <row r="6" spans="1:10" ht="13.9">
      <c r="A6" s="187" t="s">
        <v>133</v>
      </c>
      <c r="B6" s="188">
        <f>'Показатели эффективности'!$C$33</f>
        <v>10</v>
      </c>
      <c r="C6" s="191">
        <v>8</v>
      </c>
      <c r="D6" s="191">
        <v>8</v>
      </c>
      <c r="E6" s="191">
        <v>9</v>
      </c>
      <c r="F6" s="191">
        <v>10</v>
      </c>
      <c r="G6" s="191">
        <v>11</v>
      </c>
      <c r="H6" s="191">
        <v>15</v>
      </c>
      <c r="I6" s="191">
        <v>35</v>
      </c>
    </row>
    <row r="7" spans="1:10" ht="13.9">
      <c r="A7" s="192"/>
      <c r="B7" s="192"/>
      <c r="C7" s="192"/>
      <c r="D7" s="192"/>
      <c r="E7" s="192"/>
      <c r="F7" s="192"/>
      <c r="G7" s="192"/>
      <c r="H7" s="192"/>
      <c r="I7" s="192"/>
    </row>
    <row r="8" spans="1:10" ht="13.9">
      <c r="A8" s="185" t="s">
        <v>134</v>
      </c>
      <c r="B8" s="186">
        <v>100</v>
      </c>
      <c r="C8" s="186">
        <v>130</v>
      </c>
      <c r="D8" s="186">
        <v>120</v>
      </c>
      <c r="E8" s="186">
        <v>110</v>
      </c>
      <c r="F8" s="186">
        <v>100</v>
      </c>
      <c r="G8" s="186">
        <v>90</v>
      </c>
      <c r="H8" s="186">
        <v>80</v>
      </c>
      <c r="I8" s="186">
        <v>70</v>
      </c>
    </row>
    <row r="9" spans="1:10" ht="13.9">
      <c r="A9" s="187" t="s">
        <v>128</v>
      </c>
      <c r="B9" s="188">
        <f>'Показатели эффективности'!$C$28</f>
        <v>222903.65097190213</v>
      </c>
      <c r="C9" s="188">
        <f t="dataTable" ref="C9:I13" dt2D="0" dtr="1" r1="B8"/>
        <v>317322.04806487274</v>
      </c>
      <c r="D9" s="188">
        <v>274505.47793050762</v>
      </c>
      <c r="E9" s="188">
        <v>243734.39837886699</v>
      </c>
      <c r="F9" s="188">
        <v>222903.65097190213</v>
      </c>
      <c r="G9" s="188">
        <v>205410.20225333856</v>
      </c>
      <c r="H9" s="188">
        <v>194976.24985447282</v>
      </c>
      <c r="I9" s="188">
        <v>184542.29745560704</v>
      </c>
    </row>
    <row r="10" spans="1:10" ht="13.9">
      <c r="A10" s="187" t="s">
        <v>5</v>
      </c>
      <c r="B10" s="188">
        <f>'Показатели эффективности'!$C$29</f>
        <v>2160098.9878965328</v>
      </c>
      <c r="C10" s="188">
        <v>848001.43324566784</v>
      </c>
      <c r="D10" s="188">
        <v>1285850.3121517331</v>
      </c>
      <c r="E10" s="188">
        <v>1723121.0245615477</v>
      </c>
      <c r="F10" s="188">
        <v>2160098.9878965328</v>
      </c>
      <c r="G10" s="188">
        <v>2596952.801390097</v>
      </c>
      <c r="H10" s="188">
        <v>3033680.8726980877</v>
      </c>
      <c r="I10" s="188">
        <v>3470326.0934423199</v>
      </c>
    </row>
    <row r="11" spans="1:10" ht="13.9">
      <c r="A11" s="187" t="s">
        <v>131</v>
      </c>
      <c r="B11" s="189">
        <f>'Показатели эффективности'!$C$31</f>
        <v>3.4365448917675812</v>
      </c>
      <c r="C11" s="190">
        <v>1.3293818729727516</v>
      </c>
      <c r="D11" s="190">
        <v>1.9668892246931486</v>
      </c>
      <c r="E11" s="190">
        <v>2.6662415915447784</v>
      </c>
      <c r="F11" s="190">
        <v>3.4365448917675812</v>
      </c>
      <c r="G11" s="190">
        <v>4.2880811819796643</v>
      </c>
      <c r="H11" s="190">
        <v>5.2332646519872696</v>
      </c>
      <c r="I11" s="190">
        <v>6.2874153755646738</v>
      </c>
    </row>
    <row r="12" spans="1:10" ht="13.9">
      <c r="A12" s="187" t="s">
        <v>132</v>
      </c>
      <c r="B12" s="188">
        <f>'Показатели эффективности'!$C$32</f>
        <v>9</v>
      </c>
      <c r="C12" s="191">
        <v>16</v>
      </c>
      <c r="D12" s="191">
        <v>12</v>
      </c>
      <c r="E12" s="191">
        <v>11</v>
      </c>
      <c r="F12" s="191">
        <v>9</v>
      </c>
      <c r="G12" s="191">
        <v>9</v>
      </c>
      <c r="H12" s="191">
        <v>8</v>
      </c>
      <c r="I12" s="191">
        <v>8</v>
      </c>
    </row>
    <row r="13" spans="1:10" ht="13.9">
      <c r="A13" s="187" t="s">
        <v>133</v>
      </c>
      <c r="B13" s="188">
        <f>'Показатели эффективности'!$C$33</f>
        <v>10</v>
      </c>
      <c r="C13" s="191">
        <v>17</v>
      </c>
      <c r="D13" s="191">
        <v>13</v>
      </c>
      <c r="E13" s="191">
        <v>11</v>
      </c>
      <c r="F13" s="191">
        <v>10</v>
      </c>
      <c r="G13" s="191">
        <v>9</v>
      </c>
      <c r="H13" s="191">
        <v>8</v>
      </c>
      <c r="I13" s="191">
        <v>8</v>
      </c>
    </row>
    <row r="14" spans="1:10" ht="13.9">
      <c r="A14" s="193"/>
      <c r="B14" s="192"/>
      <c r="C14" s="192"/>
      <c r="D14" s="192"/>
      <c r="E14" s="192"/>
      <c r="F14" s="192"/>
      <c r="G14" s="192"/>
      <c r="H14" s="192"/>
      <c r="I14" s="192"/>
    </row>
    <row r="15" spans="1:10" ht="13.9">
      <c r="A15" s="192"/>
      <c r="B15" s="192"/>
      <c r="C15" s="192"/>
      <c r="D15" s="192"/>
      <c r="E15" s="192"/>
      <c r="F15" s="192"/>
      <c r="G15" s="192"/>
      <c r="H15" s="192"/>
      <c r="I15" s="192"/>
    </row>
    <row r="16" spans="1:10" ht="13.9">
      <c r="A16" s="185" t="s">
        <v>135</v>
      </c>
      <c r="B16" s="186">
        <v>100</v>
      </c>
      <c r="C16" s="186">
        <v>130</v>
      </c>
      <c r="D16" s="186">
        <v>120</v>
      </c>
      <c r="E16" s="186">
        <v>110</v>
      </c>
      <c r="F16" s="186">
        <v>100</v>
      </c>
      <c r="G16" s="186">
        <v>90</v>
      </c>
      <c r="H16" s="186">
        <v>80</v>
      </c>
      <c r="I16" s="186">
        <v>70</v>
      </c>
    </row>
    <row r="17" spans="1:9" ht="13.9">
      <c r="A17" s="187" t="s">
        <v>5</v>
      </c>
      <c r="B17" s="188">
        <f>'Показатели эффективности'!$C$29</f>
        <v>2160098.9878965328</v>
      </c>
      <c r="C17" s="188">
        <f t="dataTable" ref="C17:I19" dt2D="0" dtr="1" r1="B16" ca="1"/>
        <v>1855544.4241749155</v>
      </c>
      <c r="D17" s="188">
        <v>1949342.156957201</v>
      </c>
      <c r="E17" s="188">
        <v>2050592.6662664847</v>
      </c>
      <c r="F17" s="188">
        <v>2160098.9878965328</v>
      </c>
      <c r="G17" s="188">
        <v>2278772.2763560652</v>
      </c>
      <c r="H17" s="188">
        <v>2407649.2309578904</v>
      </c>
      <c r="I17" s="188">
        <v>2547912.7966295332</v>
      </c>
    </row>
    <row r="18" spans="1:9" ht="13.9">
      <c r="A18" s="187" t="s">
        <v>133</v>
      </c>
      <c r="B18" s="191">
        <f>'Показатели эффективности'!$C$33</f>
        <v>10</v>
      </c>
      <c r="C18" s="191">
        <v>10</v>
      </c>
      <c r="D18" s="191">
        <v>10</v>
      </c>
      <c r="E18" s="191">
        <v>10</v>
      </c>
      <c r="F18" s="191">
        <v>10</v>
      </c>
      <c r="G18" s="191">
        <v>10</v>
      </c>
      <c r="H18" s="191">
        <v>10</v>
      </c>
      <c r="I18" s="191">
        <v>10</v>
      </c>
    </row>
    <row r="19" spans="1:9" ht="13.9">
      <c r="A19" s="187" t="s">
        <v>233</v>
      </c>
      <c r="B19" s="235">
        <f>'Показатели эффективности'!C$30</f>
        <v>9.690729507920091</v>
      </c>
      <c r="C19" s="235">
        <v>8.3244236515839489</v>
      </c>
      <c r="D19" s="235">
        <v>8.7452230973234393</v>
      </c>
      <c r="E19" s="235">
        <v>9.1994575114652104</v>
      </c>
      <c r="F19" s="235">
        <v>9.690729507920091</v>
      </c>
      <c r="G19" s="235">
        <v>10.223126747454277</v>
      </c>
      <c r="H19" s="235">
        <v>10.801300115364121</v>
      </c>
      <c r="I19" s="235">
        <v>11.430556590348122</v>
      </c>
    </row>
    <row r="20" spans="1:9">
      <c r="B20" s="184"/>
      <c r="C20" s="184"/>
      <c r="D20" s="184"/>
      <c r="E20" s="184"/>
      <c r="F20" s="184"/>
      <c r="G20" s="184"/>
      <c r="H20" s="184"/>
      <c r="I20" s="184"/>
    </row>
    <row r="26" spans="1:9">
      <c r="D26" s="182">
        <v>10</v>
      </c>
    </row>
  </sheetData>
  <pageMargins left="0.7" right="0.7" top="0.75" bottom="0.75" header="0.3" footer="0.3"/>
  <pageSetup paperSize="9" orientation="portrait" r:id="rId1"/>
  <ignoredErrors>
    <ignoredError sqref="G4:I4" evalError="1"/>
  </ignoredErrors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21"/>
  <sheetViews>
    <sheetView workbookViewId="0">
      <selection activeCell="B7" sqref="B7:I12"/>
    </sheetView>
  </sheetViews>
  <sheetFormatPr defaultColWidth="10.5703125" defaultRowHeight="13.15"/>
  <cols>
    <col min="1" max="1" width="40.140625" style="15" customWidth="1"/>
    <col min="2" max="2" width="12.42578125" style="15" customWidth="1"/>
    <col min="3" max="9" width="11.5703125" style="15" customWidth="1"/>
    <col min="10" max="16384" width="10.5703125" style="15"/>
  </cols>
  <sheetData>
    <row r="1" spans="1:9" ht="13.9">
      <c r="A1" s="87" t="s">
        <v>270</v>
      </c>
      <c r="B1" s="92"/>
    </row>
    <row r="3" spans="1:9">
      <c r="A3" s="87" t="s">
        <v>138</v>
      </c>
      <c r="B3" s="88" t="s">
        <v>139</v>
      </c>
    </row>
    <row r="4" spans="1:9">
      <c r="A4" s="246">
        <v>0.01</v>
      </c>
      <c r="B4" s="246">
        <v>0.01</v>
      </c>
    </row>
    <row r="7" spans="1:9">
      <c r="A7" s="87" t="s">
        <v>140</v>
      </c>
      <c r="B7" s="89">
        <f>A4</f>
        <v>0.01</v>
      </c>
      <c r="C7" s="89">
        <f t="shared" ref="C7:I7" si="0">B7+$B4</f>
        <v>0.02</v>
      </c>
      <c r="D7" s="89">
        <f t="shared" si="0"/>
        <v>0.03</v>
      </c>
      <c r="E7" s="89">
        <f t="shared" si="0"/>
        <v>0.04</v>
      </c>
      <c r="F7" s="89">
        <f t="shared" si="0"/>
        <v>0.05</v>
      </c>
      <c r="G7" s="89">
        <f t="shared" si="0"/>
        <v>6.0000000000000005E-2</v>
      </c>
      <c r="H7" s="89">
        <f t="shared" si="0"/>
        <v>7.0000000000000007E-2</v>
      </c>
      <c r="I7" s="89">
        <f t="shared" si="0"/>
        <v>0.08</v>
      </c>
    </row>
    <row r="8" spans="1:9" s="16" customFormat="1" ht="12.75">
      <c r="A8" s="93" t="s">
        <v>29</v>
      </c>
      <c r="B8" s="94">
        <f>AVERAGE(Выручка!$BK$19:$BP$19)*B$7</f>
        <v>25575.267199930564</v>
      </c>
      <c r="C8" s="94">
        <f>AVERAGE(Выручка!$BK$19:$BP$19)*C$7</f>
        <v>51150.534399861128</v>
      </c>
      <c r="D8" s="94">
        <f>AVERAGE(Выручка!$BK$19:$BP$19)*D$7</f>
        <v>76725.801599791681</v>
      </c>
      <c r="E8" s="94">
        <f>AVERAGE(Выручка!$BK$19:$BP$19)*E$7</f>
        <v>102301.06879972226</v>
      </c>
      <c r="F8" s="94">
        <f>AVERAGE(Выручка!$BK$19:$BP$19)*F$7</f>
        <v>127876.33599965282</v>
      </c>
      <c r="G8" s="94">
        <f>AVERAGE(Выручка!$BK$19:$BP$19)*G$7</f>
        <v>153451.60319958339</v>
      </c>
      <c r="H8" s="94">
        <f>AVERAGE(Выручка!$BK$19:$BP$19)*H$7</f>
        <v>179026.87039951395</v>
      </c>
      <c r="I8" s="94">
        <f>AVERAGE(Выручка!$BK$19:$BP$19)*I$7</f>
        <v>204602.13759944451</v>
      </c>
    </row>
    <row r="9" spans="1:9">
      <c r="A9" s="95" t="s">
        <v>141</v>
      </c>
      <c r="B9" s="96">
        <f>(AVERAGE(Затраты!$BL$28:$BQ$28)-AVERAGE(Затраты!$BL$26:$BQ$26))*B$7</f>
        <v>16168.912349308574</v>
      </c>
      <c r="C9" s="96">
        <f>(AVERAGE(Затраты!$BL$28:$BQ$28)-AVERAGE(Затраты!$BL$26:$BQ$26))*C$7</f>
        <v>32337.824698617147</v>
      </c>
      <c r="D9" s="96">
        <f>(AVERAGE(Затраты!$BL$28:$BQ$28)-AVERAGE(Затраты!$BL$26:$BQ$26))*D$7</f>
        <v>48506.737047925715</v>
      </c>
      <c r="E9" s="96">
        <f>(AVERAGE(Затраты!$BL$28:$BQ$28)-AVERAGE(Затраты!$BL$26:$BQ$26))*E$7</f>
        <v>64675.649397234294</v>
      </c>
      <c r="F9" s="96">
        <f>(AVERAGE(Затраты!$BL$28:$BQ$28)-AVERAGE(Затраты!$BL$26:$BQ$26))*F$7</f>
        <v>80844.561746542866</v>
      </c>
      <c r="G9" s="96">
        <f>(AVERAGE(Затраты!$BL$28:$BQ$28)-AVERAGE(Затраты!$BL$26:$BQ$26))*G$7</f>
        <v>97013.474095851445</v>
      </c>
      <c r="H9" s="96">
        <f>(AVERAGE(Затраты!$BL$28:$BQ$28)-AVERAGE(Затраты!$BL$26:$BQ$26))*H$7</f>
        <v>113182.38644516002</v>
      </c>
      <c r="I9" s="96">
        <f>(AVERAGE(Затраты!$BL$28:$BQ$28)-AVERAGE(Затраты!$BL$26:$BQ$26))*I$7</f>
        <v>129351.29879446859</v>
      </c>
    </row>
    <row r="10" spans="1:9">
      <c r="A10" s="95" t="s">
        <v>142</v>
      </c>
      <c r="B10" s="96">
        <f>AVERAGE(Затраты!$BL$36:$BQ$36)+AVERAGE(Затраты!$BL$51:$BQ$51)+AVERAGE(Затраты!$BL$26:$BQ$26)</f>
        <v>36625.09982562386</v>
      </c>
      <c r="C10" s="96">
        <f t="shared" ref="C10:I10" si="1">B10</f>
        <v>36625.09982562386</v>
      </c>
      <c r="D10" s="96">
        <f t="shared" si="1"/>
        <v>36625.09982562386</v>
      </c>
      <c r="E10" s="96">
        <f t="shared" si="1"/>
        <v>36625.09982562386</v>
      </c>
      <c r="F10" s="96">
        <f t="shared" si="1"/>
        <v>36625.09982562386</v>
      </c>
      <c r="G10" s="96">
        <f t="shared" si="1"/>
        <v>36625.09982562386</v>
      </c>
      <c r="H10" s="96">
        <f t="shared" si="1"/>
        <v>36625.09982562386</v>
      </c>
      <c r="I10" s="96">
        <f t="shared" si="1"/>
        <v>36625.09982562386</v>
      </c>
    </row>
    <row r="11" spans="1:9" s="16" customFormat="1" ht="12.75">
      <c r="A11" s="93" t="s">
        <v>143</v>
      </c>
      <c r="B11" s="94">
        <f>B9+B10</f>
        <v>52794.012174932432</v>
      </c>
      <c r="C11" s="94">
        <f t="shared" ref="C11:I11" si="2">C9+C10</f>
        <v>68962.924524241011</v>
      </c>
      <c r="D11" s="94">
        <f t="shared" si="2"/>
        <v>85131.836873549575</v>
      </c>
      <c r="E11" s="94">
        <f t="shared" si="2"/>
        <v>101300.74922285815</v>
      </c>
      <c r="F11" s="94">
        <f t="shared" si="2"/>
        <v>117469.66157216672</v>
      </c>
      <c r="G11" s="94">
        <f t="shared" si="2"/>
        <v>133638.5739214753</v>
      </c>
      <c r="H11" s="94">
        <f t="shared" si="2"/>
        <v>149807.48627078388</v>
      </c>
      <c r="I11" s="94">
        <f t="shared" si="2"/>
        <v>165976.39862009246</v>
      </c>
    </row>
    <row r="12" spans="1:9" s="16" customFormat="1">
      <c r="A12" s="90" t="s">
        <v>144</v>
      </c>
      <c r="B12" s="91">
        <f t="shared" ref="B12:I12" si="3">B8-B11</f>
        <v>-27218.744975001868</v>
      </c>
      <c r="C12" s="91">
        <f t="shared" si="3"/>
        <v>-17812.390124379883</v>
      </c>
      <c r="D12" s="91">
        <f t="shared" si="3"/>
        <v>-8406.0352737578942</v>
      </c>
      <c r="E12" s="91">
        <f t="shared" si="3"/>
        <v>1000.3195768641017</v>
      </c>
      <c r="F12" s="91">
        <f t="shared" si="3"/>
        <v>10406.674427486098</v>
      </c>
      <c r="G12" s="91">
        <f t="shared" si="3"/>
        <v>19813.029278108093</v>
      </c>
      <c r="H12" s="91">
        <f t="shared" si="3"/>
        <v>29219.384128730075</v>
      </c>
      <c r="I12" s="91">
        <f t="shared" si="3"/>
        <v>38625.738979352056</v>
      </c>
    </row>
    <row r="21" spans="8:8">
      <c r="H21" s="17"/>
    </row>
  </sheetData>
  <conditionalFormatting sqref="A1">
    <cfRule type="cellIs" dxfId="2" priority="1" stopIfTrue="1" operator="lessThan">
      <formula>#REF!</formula>
    </cfRule>
  </conditionalFormatting>
  <conditionalFormatting sqref="A3:B3">
    <cfRule type="cellIs" dxfId="1" priority="3" stopIfTrue="1" operator="lessThan">
      <formula>#REF!</formula>
    </cfRule>
  </conditionalFormatting>
  <conditionalFormatting sqref="A7:I7">
    <cfRule type="cellIs" dxfId="0" priority="2" stopIfTrue="1" operator="lessThan">
      <formula>#REF!</formula>
    </cfRule>
  </conditionalFormatting>
  <pageMargins left="0.7" right="0.7" top="0.75" bottom="0.75" header="0.3" footer="0.3"/>
  <pageSetup paperSize="9" orientation="portrait" horizontalDpi="1200" verticalDpi="12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Допущения</vt:lpstr>
      <vt:lpstr>Сезонность</vt:lpstr>
      <vt:lpstr>Цены</vt:lpstr>
      <vt:lpstr>Объемы реализации</vt:lpstr>
      <vt:lpstr>Выручка</vt:lpstr>
      <vt:lpstr>Персонал</vt:lpstr>
      <vt:lpstr>Затраты</vt:lpstr>
      <vt:lpstr>Налоги</vt:lpstr>
      <vt:lpstr>СОК</vt:lpstr>
      <vt:lpstr>Инвестиции</vt:lpstr>
      <vt:lpstr>Капвложения</vt:lpstr>
      <vt:lpstr>Амортизация</vt:lpstr>
      <vt:lpstr>Кредиты</vt:lpstr>
      <vt:lpstr>ОПУ</vt:lpstr>
      <vt:lpstr>ОДДС</vt:lpstr>
      <vt:lpstr>Баланс</vt:lpstr>
      <vt:lpstr>WACC</vt:lpstr>
      <vt:lpstr>Показатели эффективности</vt:lpstr>
      <vt:lpstr>Анализ чувствительности</vt:lpstr>
      <vt:lpstr>Безубыт-ть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Владислав</dc:creator>
  <cp:lastModifiedBy>Владислав Цыгода</cp:lastModifiedBy>
  <dcterms:created xsi:type="dcterms:W3CDTF">2013-10-01T09:04:09Z</dcterms:created>
  <dcterms:modified xsi:type="dcterms:W3CDTF">2025-06-26T17:54:48Z</dcterms:modified>
</cp:coreProperties>
</file>